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24480" windowHeight="14760" activeTab="0"/>
  </bookViews>
  <sheets>
    <sheet name="Projections" sheetId="1" r:id="rId1"/>
    <sheet name="Valuation" sheetId="2" r:id="rId2"/>
    <sheet name="Proposal" sheetId="3" r:id="rId3"/>
  </sheets>
  <definedNames>
    <definedName name="age" localSheetId="2">'Proposal'!$A:$A</definedName>
    <definedName name="age">#REF!</definedName>
    <definedName name="assets">'Valuation'!$D$2</definedName>
    <definedName name="assets2008">'Projections'!$P$10</definedName>
    <definedName name="average_benefits">'Projections'!$P$9</definedName>
    <definedName name="average_earnings">'Projections'!$P$8</definedName>
    <definedName name="beneficiaries">'Projections'!$H:$H</definedName>
    <definedName name="benefit_each">'Projections'!$J:$J</definedName>
    <definedName name="cash">'Proposal'!$B:$B</definedName>
    <definedName name="cashflow">'Projections'!$M:$M</definedName>
    <definedName name="contributions">#REF!</definedName>
    <definedName name="disabilityrate">'Projections'!$P$6</definedName>
    <definedName name="disabled">'Projections'!$D:$D</definedName>
    <definedName name="discount">#REF!</definedName>
    <definedName name="flow">'Valuation'!$B:$B</definedName>
    <definedName name="FV">'Valuation'!$G:$G</definedName>
    <definedName name="growth" localSheetId="2">'Proposal'!$F$1</definedName>
    <definedName name="growth">#REF!</definedName>
    <definedName name="npv" localSheetId="2">'Proposal'!$F$11</definedName>
    <definedName name="npv">#REF!</definedName>
    <definedName name="NPVtoDate">'Valuation'!$D:$D</definedName>
    <definedName name="nyears" localSheetId="2">'Proposal'!$F$6</definedName>
    <definedName name="nyears">#REF!</definedName>
    <definedName name="oldpop">'Projections'!$E:$E</definedName>
    <definedName name="oldworkers">'Projections'!$F:$F</definedName>
    <definedName name="oldworkrate">'Projections'!$P$5</definedName>
    <definedName name="retirees">'Projections'!#REF!</definedName>
    <definedName name="retirementage" localSheetId="2">'Proposal'!$F$5</definedName>
    <definedName name="retirementage">#REF!</definedName>
    <definedName name="return">'Projections'!$P$11</definedName>
    <definedName name="tax_each">'Projections'!$I:$I</definedName>
    <definedName name="taxrate">'Projections'!$P$7</definedName>
    <definedName name="totalbenefits">'Projections'!$L:$L</definedName>
    <definedName name="totaltaxes">'Projections'!$K:$K</definedName>
    <definedName name="withdrawals">#REF!</definedName>
    <definedName name="workers">'Projections'!$G:$G</definedName>
    <definedName name="year">'Valuation'!$A:$A</definedName>
    <definedName name="yearlyincome" localSheetId="2">'Proposal'!$F$2</definedName>
    <definedName name="yearlyincome">#REF!</definedName>
    <definedName name="yearzero">'Valuation'!$A$8</definedName>
    <definedName name="youngpop">'Projections'!$B:$B</definedName>
    <definedName name="youngworkers">'Projections'!$C:$C</definedName>
    <definedName name="youngworkrate">'Projections'!$P$4</definedName>
  </definedNames>
  <calcPr fullCalcOnLoad="1"/>
</workbook>
</file>

<file path=xl/comments1.xml><?xml version="1.0" encoding="utf-8"?>
<comments xmlns="http://schemas.openxmlformats.org/spreadsheetml/2006/main">
  <authors>
    <author> </author>
    <author>B A</author>
  </authors>
  <commentList>
    <comment ref="P8" authorId="0">
      <text>
        <r>
          <rPr>
            <b/>
            <sz val="8"/>
            <rFont val="Tahoma"/>
            <family val="0"/>
          </rPr>
          <t>From Social Security Trustees' Report 2009, pages 5 and 51</t>
        </r>
      </text>
    </comment>
    <comment ref="B3" authorId="0">
      <text>
        <r>
          <rPr>
            <b/>
            <sz val="8"/>
            <rFont val="Tahoma"/>
            <family val="0"/>
          </rPr>
          <t>Source: Census Bureau projections for every 5 years, 2010-2050</t>
        </r>
      </text>
    </comment>
    <comment ref="E3" authorId="0">
      <text>
        <r>
          <rPr>
            <b/>
            <sz val="8"/>
            <rFont val="Tahoma"/>
            <family val="0"/>
          </rPr>
          <t>Source: Census Bureau projections for every 5 years, 2010-2050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From Social Security Trustees' Report p. 5 OASDI</t>
        </r>
      </text>
    </comment>
    <comment ref="P6" authorId="0">
      <text>
        <r>
          <rPr>
            <b/>
            <sz val="8"/>
            <rFont val="Tahoma"/>
            <family val="0"/>
          </rPr>
          <t>Social Security Trustees' report 2009, page 51</t>
        </r>
      </text>
    </comment>
    <comment ref="P9" authorId="1">
      <text>
        <r>
          <rPr>
            <b/>
            <sz val="9"/>
            <rFont val="Arial"/>
            <family val="0"/>
          </rPr>
          <t>Trust fund report: p5, 29</t>
        </r>
      </text>
    </comment>
  </commentList>
</comments>
</file>

<file path=xl/comments2.xml><?xml version="1.0" encoding="utf-8"?>
<comments xmlns="http://schemas.openxmlformats.org/spreadsheetml/2006/main">
  <authors>
    <author>B A</author>
  </authors>
  <commentList>
    <comment ref="A8" authorId="0">
      <text>
        <r>
          <rPr>
            <b/>
            <sz val="9"/>
            <rFont val="Arial"/>
            <family val="0"/>
          </rPr>
          <t>All present values are measured as of the end of 2008.</t>
        </r>
      </text>
    </comment>
  </commentList>
</comments>
</file>

<file path=xl/sharedStrings.xml><?xml version="1.0" encoding="utf-8"?>
<sst xmlns="http://schemas.openxmlformats.org/spreadsheetml/2006/main" count="73" uniqueCount="55">
  <si>
    <t>Year</t>
  </si>
  <si>
    <t>Population</t>
  </si>
  <si>
    <t>Age 65 and up</t>
  </si>
  <si>
    <t>Age 18 to 64</t>
  </si>
  <si>
    <t>Working</t>
  </si>
  <si>
    <t>Workers</t>
  </si>
  <si>
    <t>Tax per</t>
  </si>
  <si>
    <t>Worker</t>
  </si>
  <si>
    <t>Benefit per</t>
  </si>
  <si>
    <t>Total</t>
  </si>
  <si>
    <t>Taxes</t>
  </si>
  <si>
    <t>Benefits</t>
  </si>
  <si>
    <t>Cashflow</t>
  </si>
  <si>
    <t>Net</t>
  </si>
  <si>
    <t>(all population figures are in millions)</t>
  </si>
  <si>
    <t>Labor force participation, age 18-64</t>
  </si>
  <si>
    <t>Labor force participation, age 65+</t>
  </si>
  <si>
    <t>Tax rate</t>
  </si>
  <si>
    <t>Average taxable earnings per worker</t>
  </si>
  <si>
    <t>(cashflows and assets in billions)</t>
  </si>
  <si>
    <t>Assets</t>
  </si>
  <si>
    <t>Real rate of return on investment</t>
  </si>
  <si>
    <t>Disability rate, age 18-64</t>
  </si>
  <si>
    <t>Disabled</t>
  </si>
  <si>
    <t>Receiving</t>
  </si>
  <si>
    <t>Average benefits per beneficiary</t>
  </si>
  <si>
    <t>Recipient</t>
  </si>
  <si>
    <t xml:space="preserve">Future </t>
  </si>
  <si>
    <t>Value of</t>
  </si>
  <si>
    <t>(dollar figures in billions)</t>
  </si>
  <si>
    <t>Present</t>
  </si>
  <si>
    <t>PV of</t>
  </si>
  <si>
    <t>Cashflows</t>
  </si>
  <si>
    <t>Net PV of</t>
  </si>
  <si>
    <t>to Date</t>
  </si>
  <si>
    <t>NPV to</t>
  </si>
  <si>
    <t>Date plus</t>
  </si>
  <si>
    <t>Projected</t>
  </si>
  <si>
    <t>FV of</t>
  </si>
  <si>
    <t>Age</t>
  </si>
  <si>
    <t>retirement age</t>
  </si>
  <si>
    <t>years retired</t>
  </si>
  <si>
    <t>PV of Future</t>
  </si>
  <si>
    <t>NFV at retirement</t>
  </si>
  <si>
    <t>NFV at death</t>
  </si>
  <si>
    <t>surplus/shortfall</t>
  </si>
  <si>
    <t>Assets, end of 2008, billions</t>
  </si>
  <si>
    <t>Assets '08</t>
  </si>
  <si>
    <t>Assets available, end 2008</t>
  </si>
  <si>
    <t>Funding shortfall, end 2008</t>
  </si>
  <si>
    <t>NPV of cashflows, 2009-2050</t>
  </si>
  <si>
    <t>PV at retirement of future withdrawals</t>
  </si>
  <si>
    <t>PV at age 17 of future contributions</t>
  </si>
  <si>
    <t>PV at age 17 of future withdrawals</t>
  </si>
  <si>
    <t>NPV at age 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</si>
</sst>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0.000"/>
    <numFmt numFmtId="171" formatCode="&quot;$&quot;#,##0.0_);[Red]\(&quot;$&quot;#,##0.0\)"/>
    <numFmt numFmtId="172" formatCode="&quot;$&quot;#,##0.00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6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 horizontal="center"/>
    </xf>
    <xf numFmtId="168" fontId="0" fillId="0" borderId="0" xfId="17" applyNumberFormat="1" applyAlignment="1">
      <alignment/>
    </xf>
    <xf numFmtId="168" fontId="0" fillId="0" borderId="0" xfId="17" applyNumberFormat="1" applyAlignment="1">
      <alignment horizontal="center"/>
    </xf>
    <xf numFmtId="167" fontId="0" fillId="0" borderId="0" xfId="17" applyNumberFormat="1" applyFont="1" applyAlignment="1">
      <alignment horizontal="center"/>
    </xf>
    <xf numFmtId="167" fontId="0" fillId="0" borderId="1" xfId="17" applyNumberFormat="1" applyBorder="1" applyAlignment="1">
      <alignment horizontal="center"/>
    </xf>
    <xf numFmtId="167" fontId="0" fillId="0" borderId="1" xfId="17" applyNumberFormat="1" applyBorder="1" applyAlignment="1">
      <alignment/>
    </xf>
    <xf numFmtId="168" fontId="0" fillId="0" borderId="1" xfId="17" applyNumberFormat="1" applyBorder="1" applyAlignment="1">
      <alignment/>
    </xf>
    <xf numFmtId="168" fontId="2" fillId="0" borderId="0" xfId="17" applyNumberFormat="1" applyFont="1" applyAlignment="1">
      <alignment horizontal="center"/>
    </xf>
    <xf numFmtId="168" fontId="0" fillId="0" borderId="1" xfId="17" applyNumberFormat="1" applyBorder="1" applyAlignment="1">
      <alignment horizontal="center"/>
    </xf>
    <xf numFmtId="168" fontId="2" fillId="0" borderId="1" xfId="17" applyNumberFormat="1" applyFont="1" applyBorder="1" applyAlignment="1">
      <alignment/>
    </xf>
    <xf numFmtId="168" fontId="2" fillId="0" borderId="0" xfId="17" applyNumberFormat="1" applyFont="1" applyAlignment="1">
      <alignment/>
    </xf>
    <xf numFmtId="166" fontId="0" fillId="0" borderId="0" xfId="21" applyNumberFormat="1" applyAlignment="1">
      <alignment/>
    </xf>
    <xf numFmtId="6" fontId="5" fillId="0" borderId="0" xfId="17" applyNumberFormat="1" applyFont="1" applyAlignment="1">
      <alignment/>
    </xf>
    <xf numFmtId="0" fontId="2" fillId="0" borderId="0" xfId="0" applyFont="1" applyAlignment="1">
      <alignment/>
    </xf>
    <xf numFmtId="6" fontId="0" fillId="0" borderId="0" xfId="17" applyNumberForma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/>
    </xf>
    <xf numFmtId="6" fontId="0" fillId="0" borderId="0" xfId="0" applyNumberFormat="1" applyFont="1" applyAlignment="1">
      <alignment/>
    </xf>
    <xf numFmtId="166" fontId="0" fillId="0" borderId="0" xfId="21" applyNumberFormat="1" applyAlignment="1">
      <alignment/>
    </xf>
    <xf numFmtId="168" fontId="9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8" fontId="2" fillId="0" borderId="0" xfId="17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9" sqref="Q19"/>
    </sheetView>
  </sheetViews>
  <sheetFormatPr defaultColWidth="11.421875" defaultRowHeight="12.75"/>
  <cols>
    <col min="1" max="1" width="9.7109375" style="0" customWidth="1"/>
    <col min="2" max="7" width="9.7109375" style="2" customWidth="1"/>
    <col min="8" max="8" width="8.8515625" style="0" customWidth="1"/>
    <col min="9" max="9" width="9.7109375" style="13" customWidth="1"/>
    <col min="10" max="10" width="9.7109375" style="7" customWidth="1"/>
    <col min="11" max="11" width="9.7109375" style="14" customWidth="1"/>
    <col min="12" max="13" width="9.7109375" style="9" customWidth="1"/>
    <col min="14" max="16384" width="9.7109375" style="0" customWidth="1"/>
  </cols>
  <sheetData>
    <row r="1" spans="2:15" ht="12.75">
      <c r="B1" s="31" t="s">
        <v>14</v>
      </c>
      <c r="C1" s="31"/>
      <c r="D1" s="31"/>
      <c r="E1" s="31"/>
      <c r="F1" s="31"/>
      <c r="G1" s="31"/>
      <c r="H1" s="32"/>
      <c r="K1" s="33" t="s">
        <v>19</v>
      </c>
      <c r="L1" s="33"/>
      <c r="M1" s="33"/>
      <c r="N1" s="33"/>
      <c r="O1" s="15"/>
    </row>
    <row r="2" spans="2:14" s="1" customFormat="1" ht="12.75">
      <c r="B2" s="34" t="s">
        <v>3</v>
      </c>
      <c r="C2" s="34"/>
      <c r="D2" s="34"/>
      <c r="E2" s="34" t="s">
        <v>2</v>
      </c>
      <c r="F2" s="34"/>
      <c r="G2" s="4"/>
      <c r="H2" s="1" t="s">
        <v>24</v>
      </c>
      <c r="I2" s="12" t="s">
        <v>6</v>
      </c>
      <c r="J2" s="8" t="s">
        <v>8</v>
      </c>
      <c r="K2" s="16" t="s">
        <v>9</v>
      </c>
      <c r="L2" s="10" t="s">
        <v>9</v>
      </c>
      <c r="M2" s="10" t="s">
        <v>13</v>
      </c>
      <c r="N2" s="1" t="s">
        <v>37</v>
      </c>
    </row>
    <row r="3" spans="1:14" s="1" customFormat="1" ht="12.75">
      <c r="A3" s="1" t="s">
        <v>0</v>
      </c>
      <c r="B3" s="3" t="s">
        <v>1</v>
      </c>
      <c r="C3" s="3" t="s">
        <v>4</v>
      </c>
      <c r="D3" s="3" t="s">
        <v>23</v>
      </c>
      <c r="E3" s="3" t="s">
        <v>1</v>
      </c>
      <c r="F3" s="3" t="s">
        <v>4</v>
      </c>
      <c r="G3" s="3" t="s">
        <v>5</v>
      </c>
      <c r="H3" s="1" t="s">
        <v>11</v>
      </c>
      <c r="I3" s="12" t="s">
        <v>7</v>
      </c>
      <c r="J3" s="11" t="s">
        <v>26</v>
      </c>
      <c r="K3" s="16" t="s">
        <v>10</v>
      </c>
      <c r="L3" s="10" t="s">
        <v>11</v>
      </c>
      <c r="M3" s="10" t="s">
        <v>12</v>
      </c>
      <c r="N3" s="1" t="s">
        <v>20</v>
      </c>
    </row>
    <row r="4" spans="1:17" ht="12.75">
      <c r="A4">
        <v>2009</v>
      </c>
      <c r="B4" s="2">
        <v>192.587838</v>
      </c>
      <c r="C4" s="2">
        <f aca="true" t="shared" si="0" ref="C4:C45">youngpop*youngworkrate</f>
        <v>147.714871746</v>
      </c>
      <c r="D4" s="2">
        <f aca="true" t="shared" si="1" ref="D4:D45">youngpop*disabilityrate</f>
        <v>10.752040102666749</v>
      </c>
      <c r="E4" s="2">
        <v>39.481866</v>
      </c>
      <c r="F4" s="2">
        <f aca="true" t="shared" si="2" ref="F4:F45">oldpop*oldworkrate</f>
        <v>4.421968992</v>
      </c>
      <c r="G4" s="2">
        <f aca="true" t="shared" si="3" ref="G4:G45">youngworkers+oldworkers</f>
        <v>152.136840738</v>
      </c>
      <c r="H4" s="2">
        <f>disabled+oldpop</f>
        <v>50.233906102666744</v>
      </c>
      <c r="I4" s="14">
        <f aca="true" t="shared" si="4" ref="I4:I45">taxrate*average_earnings</f>
        <v>4139.311449159328</v>
      </c>
      <c r="J4" s="9">
        <f aca="true" t="shared" si="5" ref="J4:J45">average_benefits</f>
        <v>12088.408644400786</v>
      </c>
      <c r="K4" s="17">
        <f aca="true" t="shared" si="6" ref="K4:K45">workers*tax_each/1000</f>
        <v>629.7417667057325</v>
      </c>
      <c r="L4" s="18">
        <f aca="true" t="shared" si="7" ref="L4:L45">beneficiaries*benefit_each/1000</f>
        <v>607.2479847734941</v>
      </c>
      <c r="M4" s="20">
        <f>totaltaxes-totalbenefits</f>
        <v>22.49378193223845</v>
      </c>
      <c r="N4" s="20">
        <f>assets2008*(1+return)+cashflow</f>
        <v>2511.3360819322384</v>
      </c>
      <c r="P4" s="5">
        <v>0.767</v>
      </c>
      <c r="Q4" t="s">
        <v>15</v>
      </c>
    </row>
    <row r="5" spans="1:17" ht="12.75">
      <c r="A5">
        <f aca="true" t="shared" si="8" ref="A5:A44">A4+1</f>
        <v>2010</v>
      </c>
      <c r="B5" s="2">
        <v>194.787</v>
      </c>
      <c r="C5" s="2">
        <f t="shared" si="0"/>
        <v>149.401629</v>
      </c>
      <c r="D5" s="2">
        <f t="shared" si="1"/>
        <v>10.874817731107964</v>
      </c>
      <c r="E5" s="2">
        <v>40.229</v>
      </c>
      <c r="F5" s="2">
        <f t="shared" si="2"/>
        <v>4.505648</v>
      </c>
      <c r="G5" s="2">
        <f t="shared" si="3"/>
        <v>153.90727700000002</v>
      </c>
      <c r="H5" s="2">
        <f aca="true" t="shared" si="9" ref="H5:H45">disabled+oldpop</f>
        <v>51.103817731107966</v>
      </c>
      <c r="I5" s="14">
        <f t="shared" si="4"/>
        <v>4139.311449159328</v>
      </c>
      <c r="J5" s="9">
        <f t="shared" si="5"/>
        <v>12088.408644400786</v>
      </c>
      <c r="K5" s="17">
        <f t="shared" si="6"/>
        <v>637.0701537950362</v>
      </c>
      <c r="L5" s="18">
        <f t="shared" si="7"/>
        <v>617.7638320226076</v>
      </c>
      <c r="M5" s="20">
        <f aca="true" t="shared" si="10" ref="M5:M45">totaltaxes-totalbenefits</f>
        <v>19.306321772428532</v>
      </c>
      <c r="N5" s="20">
        <f>N4*(1+return)+cashflow</f>
        <v>2603.4711500807016</v>
      </c>
      <c r="P5" s="5">
        <v>0.112</v>
      </c>
      <c r="Q5" t="s">
        <v>16</v>
      </c>
    </row>
    <row r="6" spans="1:17" ht="12.75">
      <c r="A6">
        <f t="shared" si="8"/>
        <v>2011</v>
      </c>
      <c r="B6" s="2">
        <f>B5*((B10/B5)^(1/5))</f>
        <v>195.93537924744754</v>
      </c>
      <c r="C6" s="2">
        <f t="shared" si="0"/>
        <v>150.28243588279227</v>
      </c>
      <c r="D6" s="2">
        <f t="shared" si="1"/>
        <v>10.938930916290646</v>
      </c>
      <c r="E6" s="2">
        <f>E5*((E10/E5)^(1/5))</f>
        <v>41.471448422174774</v>
      </c>
      <c r="F6" s="2">
        <f t="shared" si="2"/>
        <v>4.644802223283575</v>
      </c>
      <c r="G6" s="2">
        <f t="shared" si="3"/>
        <v>154.92723810607583</v>
      </c>
      <c r="H6" s="2">
        <f t="shared" si="9"/>
        <v>52.41037933846542</v>
      </c>
      <c r="I6" s="14">
        <f t="shared" si="4"/>
        <v>4139.311449159328</v>
      </c>
      <c r="J6" s="9">
        <f t="shared" si="5"/>
        <v>12088.408644400786</v>
      </c>
      <c r="K6" s="17">
        <f t="shared" si="6"/>
        <v>641.2920904791131</v>
      </c>
      <c r="L6" s="18">
        <f t="shared" si="7"/>
        <v>633.5580826514297</v>
      </c>
      <c r="M6" s="20">
        <f t="shared" si="10"/>
        <v>7.734007827683399</v>
      </c>
      <c r="N6" s="20">
        <f aca="true" t="shared" si="11" ref="N6:N45">N5*(1+return)+cashflow</f>
        <v>2686.7058212607253</v>
      </c>
      <c r="P6" s="19">
        <f>9065/162370</f>
        <v>0.05582927880766152</v>
      </c>
      <c r="Q6" t="s">
        <v>22</v>
      </c>
    </row>
    <row r="7" spans="1:17" ht="12.75">
      <c r="A7">
        <f t="shared" si="8"/>
        <v>2012</v>
      </c>
      <c r="B7" s="2">
        <f>B5*((B10/B5)^(2/5))</f>
        <v>197.09052883837774</v>
      </c>
      <c r="C7" s="2">
        <f t="shared" si="0"/>
        <v>151.16843561903573</v>
      </c>
      <c r="D7" s="2">
        <f t="shared" si="1"/>
        <v>11.003422084867243</v>
      </c>
      <c r="E7" s="2">
        <f>E5*((E10/E5)^(2/5))</f>
        <v>42.75226911514337</v>
      </c>
      <c r="F7" s="2">
        <f t="shared" si="2"/>
        <v>4.788254140896058</v>
      </c>
      <c r="G7" s="2">
        <f t="shared" si="3"/>
        <v>155.9566897599318</v>
      </c>
      <c r="H7" s="2">
        <f t="shared" si="9"/>
        <v>53.75569120001062</v>
      </c>
      <c r="I7" s="14">
        <f t="shared" si="4"/>
        <v>4139.311449159328</v>
      </c>
      <c r="J7" s="9">
        <f t="shared" si="5"/>
        <v>12088.408644400786</v>
      </c>
      <c r="K7" s="17">
        <f t="shared" si="6"/>
        <v>645.553311496275</v>
      </c>
      <c r="L7" s="18">
        <f t="shared" si="7"/>
        <v>649.8207621879476</v>
      </c>
      <c r="M7" s="20">
        <f t="shared" si="10"/>
        <v>-4.267450691672593</v>
      </c>
      <c r="N7" s="20">
        <f t="shared" si="11"/>
        <v>2760.352839385613</v>
      </c>
      <c r="P7" s="5">
        <v>0.124</v>
      </c>
      <c r="Q7" t="s">
        <v>17</v>
      </c>
    </row>
    <row r="8" spans="1:17" ht="12.75">
      <c r="A8">
        <f t="shared" si="8"/>
        <v>2013</v>
      </c>
      <c r="B8" s="2">
        <f>B5*((B10/B5)^(3/5))</f>
        <v>198.2524886877848</v>
      </c>
      <c r="C8" s="2">
        <f t="shared" si="0"/>
        <v>152.05965882353092</v>
      </c>
      <c r="D8" s="2">
        <f t="shared" si="1"/>
        <v>11.068293465263098</v>
      </c>
      <c r="E8" s="2">
        <f>E5*((E10/E5)^(3/5))</f>
        <v>44.072647183365326</v>
      </c>
      <c r="F8" s="2">
        <f t="shared" si="2"/>
        <v>4.936136484536917</v>
      </c>
      <c r="G8" s="2">
        <f t="shared" si="3"/>
        <v>156.99579530806784</v>
      </c>
      <c r="H8" s="2">
        <f t="shared" si="9"/>
        <v>55.14094064862842</v>
      </c>
      <c r="I8" s="14">
        <f t="shared" si="4"/>
        <v>4139.311449159328</v>
      </c>
      <c r="J8" s="9">
        <f t="shared" si="5"/>
        <v>12088.408644400786</v>
      </c>
      <c r="K8" s="17">
        <f t="shared" si="6"/>
        <v>649.8544929885595</v>
      </c>
      <c r="L8" s="18">
        <f t="shared" si="7"/>
        <v>666.5662235972706</v>
      </c>
      <c r="M8" s="20">
        <f t="shared" si="10"/>
        <v>-16.711730608711036</v>
      </c>
      <c r="N8" s="20">
        <f t="shared" si="11"/>
        <v>2823.6913411190844</v>
      </c>
      <c r="P8" s="9">
        <f>(672100000000/162370000)/12.4%</f>
        <v>33381.54394483329</v>
      </c>
      <c r="Q8" t="s">
        <v>18</v>
      </c>
    </row>
    <row r="9" spans="1:17" ht="12.75">
      <c r="A9">
        <f t="shared" si="8"/>
        <v>2014</v>
      </c>
      <c r="B9" s="2">
        <f>B5*((B10/B5)^(4/5))</f>
        <v>199.42129894598412</v>
      </c>
      <c r="C9" s="2">
        <f t="shared" si="0"/>
        <v>152.95613629156983</v>
      </c>
      <c r="D9" s="2">
        <f t="shared" si="1"/>
        <v>11.133547299041362</v>
      </c>
      <c r="E9" s="2">
        <f>E5*((E10/E5)^(4/5))</f>
        <v>45.43380433253727</v>
      </c>
      <c r="F9" s="2">
        <f t="shared" si="2"/>
        <v>5.088586085244175</v>
      </c>
      <c r="G9" s="2">
        <f t="shared" si="3"/>
        <v>158.044722376814</v>
      </c>
      <c r="H9" s="2">
        <f t="shared" si="9"/>
        <v>56.56735163157863</v>
      </c>
      <c r="I9" s="14">
        <f t="shared" si="4"/>
        <v>4139.311449159328</v>
      </c>
      <c r="J9" s="9">
        <f t="shared" si="5"/>
        <v>12088.408644400786</v>
      </c>
      <c r="K9" s="17">
        <f t="shared" si="6"/>
        <v>654.1963288135537</v>
      </c>
      <c r="L9" s="18">
        <f t="shared" si="7"/>
        <v>683.8092624540341</v>
      </c>
      <c r="M9" s="20">
        <f t="shared" si="10"/>
        <v>-29.612933640480378</v>
      </c>
      <c r="N9" s="20">
        <f t="shared" si="11"/>
        <v>2875.9654563710574</v>
      </c>
      <c r="P9" s="24">
        <f>615300000000/50900000</f>
        <v>12088.408644400786</v>
      </c>
      <c r="Q9" t="s">
        <v>25</v>
      </c>
    </row>
    <row r="10" spans="1:17" ht="12.75">
      <c r="A10">
        <f t="shared" si="8"/>
        <v>2015</v>
      </c>
      <c r="B10" s="2">
        <v>200.597</v>
      </c>
      <c r="C10" s="2">
        <f t="shared" si="0"/>
        <v>153.857899</v>
      </c>
      <c r="D10" s="2">
        <f t="shared" si="1"/>
        <v>11.199185840980478</v>
      </c>
      <c r="E10" s="2">
        <v>46.837</v>
      </c>
      <c r="F10" s="2">
        <f t="shared" si="2"/>
        <v>5.245744</v>
      </c>
      <c r="G10" s="2">
        <f t="shared" si="3"/>
        <v>159.103643</v>
      </c>
      <c r="H10" s="2">
        <f t="shared" si="9"/>
        <v>58.03618584098048</v>
      </c>
      <c r="I10" s="14">
        <f t="shared" si="4"/>
        <v>4139.311449159328</v>
      </c>
      <c r="J10" s="9">
        <f t="shared" si="5"/>
        <v>12088.408644400786</v>
      </c>
      <c r="K10" s="17">
        <f t="shared" si="6"/>
        <v>658.5795310728583</v>
      </c>
      <c r="L10" s="18">
        <f t="shared" si="7"/>
        <v>701.5651306081589</v>
      </c>
      <c r="M10" s="20">
        <f t="shared" si="10"/>
        <v>-42.985599535300594</v>
      </c>
      <c r="N10" s="20">
        <f t="shared" si="11"/>
        <v>2916.3828550705175</v>
      </c>
      <c r="P10" s="9">
        <v>2418.7</v>
      </c>
      <c r="Q10" t="s">
        <v>46</v>
      </c>
    </row>
    <row r="11" spans="1:17" ht="12.75">
      <c r="A11">
        <f t="shared" si="8"/>
        <v>2016</v>
      </c>
      <c r="B11" s="2">
        <f>B10*((B15/B10)^(1/5))</f>
        <v>201.44971945238765</v>
      </c>
      <c r="C11" s="2">
        <f t="shared" si="0"/>
        <v>154.51193481998132</v>
      </c>
      <c r="D11" s="2">
        <f t="shared" si="1"/>
        <v>11.246792553032543</v>
      </c>
      <c r="E11" s="2">
        <f>E10*((E15/E10)^(1/5))</f>
        <v>48.33188210476159</v>
      </c>
      <c r="F11" s="2">
        <f t="shared" si="2"/>
        <v>5.413170795733298</v>
      </c>
      <c r="G11" s="2">
        <f t="shared" si="3"/>
        <v>159.9251056157146</v>
      </c>
      <c r="H11" s="2">
        <f t="shared" si="9"/>
        <v>59.57867465779413</v>
      </c>
      <c r="I11" s="14">
        <f t="shared" si="4"/>
        <v>4139.311449159328</v>
      </c>
      <c r="J11" s="9">
        <f t="shared" si="5"/>
        <v>12088.408644400786</v>
      </c>
      <c r="K11" s="17">
        <f t="shared" si="6"/>
        <v>661.9798206831422</v>
      </c>
      <c r="L11" s="18">
        <f t="shared" si="7"/>
        <v>720.2113657552206</v>
      </c>
      <c r="M11" s="20">
        <f t="shared" si="10"/>
        <v>-58.23154507207846</v>
      </c>
      <c r="N11" s="20">
        <f t="shared" si="11"/>
        <v>2942.7264127954836</v>
      </c>
      <c r="P11" s="19">
        <v>0.029</v>
      </c>
      <c r="Q11" t="s">
        <v>21</v>
      </c>
    </row>
    <row r="12" spans="1:14" ht="12">
      <c r="A12">
        <f t="shared" si="8"/>
        <v>2017</v>
      </c>
      <c r="B12" s="2">
        <f>B10*((B15/B10)^(2/5))</f>
        <v>202.30606373697358</v>
      </c>
      <c r="C12" s="2">
        <f t="shared" si="0"/>
        <v>155.16875088625875</v>
      </c>
      <c r="D12" s="2">
        <f t="shared" si="1"/>
        <v>11.29460163685204</v>
      </c>
      <c r="E12" s="2">
        <f>E10*((E15/E10)^(2/5))</f>
        <v>49.87447590128688</v>
      </c>
      <c r="F12" s="2">
        <f t="shared" si="2"/>
        <v>5.58594130094413</v>
      </c>
      <c r="G12" s="2">
        <f t="shared" si="3"/>
        <v>160.7546921872029</v>
      </c>
      <c r="H12" s="2">
        <f t="shared" si="9"/>
        <v>61.16907753813892</v>
      </c>
      <c r="I12" s="14">
        <f t="shared" si="4"/>
        <v>4139.311449159328</v>
      </c>
      <c r="J12" s="9">
        <f t="shared" si="5"/>
        <v>12088.408644400786</v>
      </c>
      <c r="K12" s="17">
        <f t="shared" si="6"/>
        <v>665.4137378765726</v>
      </c>
      <c r="L12" s="18">
        <f t="shared" si="7"/>
        <v>739.4368056820606</v>
      </c>
      <c r="M12" s="20">
        <f t="shared" si="10"/>
        <v>-74.02306780548804</v>
      </c>
      <c r="N12" s="20">
        <f t="shared" si="11"/>
        <v>2954.0424109610644</v>
      </c>
    </row>
    <row r="13" spans="1:14" ht="12">
      <c r="A13">
        <f t="shared" si="8"/>
        <v>2018</v>
      </c>
      <c r="B13" s="2">
        <f>B10*((B15/B10)^(3/5))</f>
        <v>203.1660482625871</v>
      </c>
      <c r="C13" s="2">
        <f t="shared" si="0"/>
        <v>155.82835901740432</v>
      </c>
      <c r="D13" s="2">
        <f t="shared" si="1"/>
        <v>11.342613952702791</v>
      </c>
      <c r="E13" s="2">
        <f>E10*((E15/E10)^(3/5))</f>
        <v>51.46630418894827</v>
      </c>
      <c r="F13" s="2">
        <f t="shared" si="2"/>
        <v>5.7642260691622065</v>
      </c>
      <c r="G13" s="2">
        <f t="shared" si="3"/>
        <v>161.59258508656654</v>
      </c>
      <c r="H13" s="2">
        <f t="shared" si="9"/>
        <v>62.80891814165106</v>
      </c>
      <c r="I13" s="14">
        <f t="shared" si="4"/>
        <v>4139.311449159328</v>
      </c>
      <c r="J13" s="9">
        <f t="shared" si="5"/>
        <v>12088.408644400786</v>
      </c>
      <c r="K13" s="17">
        <f t="shared" si="6"/>
        <v>668.8820375480777</v>
      </c>
      <c r="L13" s="18">
        <f t="shared" si="7"/>
        <v>759.259869008996</v>
      </c>
      <c r="M13" s="20">
        <f t="shared" si="10"/>
        <v>-90.37783146091829</v>
      </c>
      <c r="N13" s="20">
        <f t="shared" si="11"/>
        <v>2949.3318094180167</v>
      </c>
    </row>
    <row r="14" spans="1:14" ht="12">
      <c r="A14">
        <f t="shared" si="8"/>
        <v>2019</v>
      </c>
      <c r="B14" s="2">
        <f>B10*((B15/B10)^(4/5))</f>
        <v>204.029688503559</v>
      </c>
      <c r="C14" s="2">
        <f t="shared" si="0"/>
        <v>156.49077108222974</v>
      </c>
      <c r="D14" s="2">
        <f t="shared" si="1"/>
        <v>11.390830364505526</v>
      </c>
      <c r="E14" s="2">
        <f>E10*((E15/E10)^(4/5))</f>
        <v>53.10893836983677</v>
      </c>
      <c r="F14" s="2">
        <f t="shared" si="2"/>
        <v>5.948201097421719</v>
      </c>
      <c r="G14" s="2">
        <f t="shared" si="3"/>
        <v>162.43897217965147</v>
      </c>
      <c r="H14" s="2">
        <f t="shared" si="9"/>
        <v>64.4997687343423</v>
      </c>
      <c r="I14" s="14">
        <f t="shared" si="4"/>
        <v>4139.311449159328</v>
      </c>
      <c r="J14" s="9">
        <f t="shared" si="5"/>
        <v>12088.408644400786</v>
      </c>
      <c r="K14" s="17">
        <f t="shared" si="6"/>
        <v>672.3854973329048</v>
      </c>
      <c r="L14" s="18">
        <f t="shared" si="7"/>
        <v>779.699561930075</v>
      </c>
      <c r="M14" s="20">
        <f t="shared" si="10"/>
        <v>-107.31406459717016</v>
      </c>
      <c r="N14" s="20">
        <f t="shared" si="11"/>
        <v>2927.5483672939686</v>
      </c>
    </row>
    <row r="15" spans="1:14" ht="12">
      <c r="A15">
        <f t="shared" si="8"/>
        <v>2020</v>
      </c>
      <c r="B15" s="2">
        <v>204.897</v>
      </c>
      <c r="C15" s="2">
        <f t="shared" si="0"/>
        <v>157.155999</v>
      </c>
      <c r="D15" s="2">
        <f t="shared" si="1"/>
        <v>11.439251739853422</v>
      </c>
      <c r="E15" s="2">
        <v>54.804</v>
      </c>
      <c r="F15" s="2">
        <f t="shared" si="2"/>
        <v>6.138048</v>
      </c>
      <c r="G15" s="2">
        <f t="shared" si="3"/>
        <v>163.294047</v>
      </c>
      <c r="H15" s="2">
        <f t="shared" si="9"/>
        <v>66.24325173985342</v>
      </c>
      <c r="I15" s="14">
        <f t="shared" si="4"/>
        <v>4139.311449159328</v>
      </c>
      <c r="J15" s="9">
        <f t="shared" si="5"/>
        <v>12088.408644400786</v>
      </c>
      <c r="K15" s="17">
        <f t="shared" si="6"/>
        <v>675.9249183266614</v>
      </c>
      <c r="L15" s="18">
        <f t="shared" si="7"/>
        <v>800.7754969652615</v>
      </c>
      <c r="M15" s="20">
        <f t="shared" si="10"/>
        <v>-124.85057863860004</v>
      </c>
      <c r="N15" s="20">
        <f t="shared" si="11"/>
        <v>2887.5966913068933</v>
      </c>
    </row>
    <row r="16" spans="1:14" ht="12">
      <c r="A16">
        <f t="shared" si="8"/>
        <v>2021</v>
      </c>
      <c r="B16" s="2">
        <f>B15*((B20/B15)^(1/5))</f>
        <v>205.6476792968907</v>
      </c>
      <c r="C16" s="2">
        <f t="shared" si="0"/>
        <v>157.73177002071515</v>
      </c>
      <c r="D16" s="2">
        <f t="shared" si="1"/>
        <v>11.481161623614671</v>
      </c>
      <c r="E16" s="2">
        <f>E15*((E20/E15)^(1/5))</f>
        <v>56.51444829534638</v>
      </c>
      <c r="F16" s="2">
        <f t="shared" si="2"/>
        <v>6.329618209078794</v>
      </c>
      <c r="G16" s="2">
        <f t="shared" si="3"/>
        <v>164.06138822979395</v>
      </c>
      <c r="H16" s="2">
        <f t="shared" si="9"/>
        <v>67.99560991896105</v>
      </c>
      <c r="I16" s="14">
        <f t="shared" si="4"/>
        <v>4139.311449159328</v>
      </c>
      <c r="J16" s="9">
        <f t="shared" si="5"/>
        <v>12088.408644400786</v>
      </c>
      <c r="K16" s="17">
        <f t="shared" si="6"/>
        <v>679.1011826645595</v>
      </c>
      <c r="L16" s="18">
        <f t="shared" si="7"/>
        <v>821.9587187256726</v>
      </c>
      <c r="M16" s="20">
        <f t="shared" si="10"/>
        <v>-142.85753606111314</v>
      </c>
      <c r="N16" s="20">
        <f t="shared" si="11"/>
        <v>2828.47945929368</v>
      </c>
    </row>
    <row r="17" spans="1:14" ht="12">
      <c r="A17">
        <f t="shared" si="8"/>
        <v>2022</v>
      </c>
      <c r="B17" s="2">
        <f>B15*((B20/B15)^(2/5))</f>
        <v>206.40110885077283</v>
      </c>
      <c r="C17" s="2">
        <f t="shared" si="0"/>
        <v>158.30965048854276</v>
      </c>
      <c r="D17" s="2">
        <f t="shared" si="1"/>
        <v>11.523225052240289</v>
      </c>
      <c r="E17" s="2">
        <f>E15*((E20/E15)^(2/5))</f>
        <v>58.278280164356225</v>
      </c>
      <c r="F17" s="2">
        <f t="shared" si="2"/>
        <v>6.527167378407897</v>
      </c>
      <c r="G17" s="2">
        <f t="shared" si="3"/>
        <v>164.83681786695067</v>
      </c>
      <c r="H17" s="2">
        <f t="shared" si="9"/>
        <v>69.80150521659651</v>
      </c>
      <c r="I17" s="14">
        <f t="shared" si="4"/>
        <v>4139.311449159328</v>
      </c>
      <c r="J17" s="9">
        <f t="shared" si="5"/>
        <v>12088.408644400786</v>
      </c>
      <c r="K17" s="17">
        <f t="shared" si="6"/>
        <v>682.3109274396597</v>
      </c>
      <c r="L17" s="18">
        <f t="shared" si="7"/>
        <v>843.7891190524919</v>
      </c>
      <c r="M17" s="20">
        <f t="shared" si="10"/>
        <v>-161.47819161283212</v>
      </c>
      <c r="N17" s="20">
        <f t="shared" si="11"/>
        <v>2749.0271720003643</v>
      </c>
    </row>
    <row r="18" spans="1:14" ht="12">
      <c r="A18">
        <f t="shared" si="8"/>
        <v>2023</v>
      </c>
      <c r="B18" s="2">
        <f>B15*((B20/B15)^(3/5))</f>
        <v>207.15729873773833</v>
      </c>
      <c r="C18" s="2">
        <f t="shared" si="0"/>
        <v>158.8896481318453</v>
      </c>
      <c r="D18" s="2">
        <f t="shared" si="1"/>
        <v>11.565442588271221</v>
      </c>
      <c r="E18" s="2">
        <f>E15*((E20/E15)^(3/5))</f>
        <v>60.09716172341835</v>
      </c>
      <c r="F18" s="2">
        <f t="shared" si="2"/>
        <v>6.730882113022855</v>
      </c>
      <c r="G18" s="2">
        <f t="shared" si="3"/>
        <v>165.62053024486815</v>
      </c>
      <c r="H18" s="2">
        <f t="shared" si="9"/>
        <v>71.66260431168958</v>
      </c>
      <c r="I18" s="14">
        <f t="shared" si="4"/>
        <v>4139.311449159328</v>
      </c>
      <c r="J18" s="9">
        <f t="shared" si="5"/>
        <v>12088.408644400786</v>
      </c>
      <c r="K18" s="17">
        <f t="shared" si="6"/>
        <v>685.5549570584215</v>
      </c>
      <c r="L18" s="18">
        <f t="shared" si="7"/>
        <v>866.2868454417013</v>
      </c>
      <c r="M18" s="20">
        <f t="shared" si="10"/>
        <v>-180.73188838327985</v>
      </c>
      <c r="N18" s="20">
        <f t="shared" si="11"/>
        <v>2648.0170716050948</v>
      </c>
    </row>
    <row r="19" spans="1:14" ht="12">
      <c r="A19">
        <f t="shared" si="8"/>
        <v>2024</v>
      </c>
      <c r="B19" s="2">
        <f>B15*((B20/B15)^(4/5))</f>
        <v>207.91625907079455</v>
      </c>
      <c r="C19" s="2">
        <f t="shared" si="0"/>
        <v>159.4717707072994</v>
      </c>
      <c r="D19" s="2">
        <f t="shared" si="1"/>
        <v>11.607814796309372</v>
      </c>
      <c r="E19" s="2">
        <f>E15*((E20/E15)^(4/5))</f>
        <v>61.97281108888395</v>
      </c>
      <c r="F19" s="2">
        <f t="shared" si="2"/>
        <v>6.940954841955002</v>
      </c>
      <c r="G19" s="2">
        <f t="shared" si="3"/>
        <v>166.41272554925442</v>
      </c>
      <c r="H19" s="2">
        <f t="shared" si="9"/>
        <v>73.58062588519333</v>
      </c>
      <c r="I19" s="14">
        <f t="shared" si="4"/>
        <v>4139.311449159328</v>
      </c>
      <c r="J19" s="9">
        <f t="shared" si="5"/>
        <v>12088.408644400786</v>
      </c>
      <c r="K19" s="17">
        <f t="shared" si="6"/>
        <v>688.8341001518378</v>
      </c>
      <c r="L19" s="18">
        <f t="shared" si="7"/>
        <v>889.4726740109912</v>
      </c>
      <c r="M19" s="20">
        <f t="shared" si="10"/>
        <v>-200.63857385915344</v>
      </c>
      <c r="N19" s="20">
        <f t="shared" si="11"/>
        <v>2524.1709928224886</v>
      </c>
    </row>
    <row r="20" spans="1:14" ht="12">
      <c r="A20">
        <f t="shared" si="8"/>
        <v>2025</v>
      </c>
      <c r="B20" s="2">
        <v>208.678</v>
      </c>
      <c r="C20" s="2">
        <f t="shared" si="0"/>
        <v>160.056026</v>
      </c>
      <c r="D20" s="2">
        <f t="shared" si="1"/>
        <v>11.65034224302519</v>
      </c>
      <c r="E20" s="2">
        <v>63.907</v>
      </c>
      <c r="F20" s="2">
        <f t="shared" si="2"/>
        <v>7.157584</v>
      </c>
      <c r="G20" s="2">
        <f t="shared" si="3"/>
        <v>167.21361000000002</v>
      </c>
      <c r="H20" s="2">
        <f t="shared" si="9"/>
        <v>75.55734224302519</v>
      </c>
      <c r="I20" s="14">
        <f t="shared" si="4"/>
        <v>4139.311449159328</v>
      </c>
      <c r="J20" s="9">
        <f t="shared" si="5"/>
        <v>12088.408644400786</v>
      </c>
      <c r="K20" s="17">
        <f t="shared" si="6"/>
        <v>692.1492103282627</v>
      </c>
      <c r="L20" s="18">
        <f t="shared" si="7"/>
        <v>913.3680291185344</v>
      </c>
      <c r="M20" s="20">
        <f t="shared" si="10"/>
        <v>-221.2188187902717</v>
      </c>
      <c r="N20" s="20">
        <f t="shared" si="11"/>
        <v>2376.153132824069</v>
      </c>
    </row>
    <row r="21" spans="1:14" ht="12">
      <c r="A21">
        <f t="shared" si="8"/>
        <v>2026</v>
      </c>
      <c r="B21" s="2">
        <f>B20*((B25/B20)^(1/5))</f>
        <v>209.65265293561032</v>
      </c>
      <c r="C21" s="2">
        <f t="shared" si="0"/>
        <v>160.8035848016131</v>
      </c>
      <c r="D21" s="2">
        <f t="shared" si="1"/>
        <v>11.704756413508084</v>
      </c>
      <c r="E21" s="2">
        <f>E20*((E25/E20)^(1/5))</f>
        <v>65.4660532608548</v>
      </c>
      <c r="F21" s="2">
        <f t="shared" si="2"/>
        <v>7.332197965215738</v>
      </c>
      <c r="G21" s="2">
        <f t="shared" si="3"/>
        <v>168.13578276682884</v>
      </c>
      <c r="H21" s="2">
        <f t="shared" si="9"/>
        <v>77.17080967436289</v>
      </c>
      <c r="I21" s="14">
        <f t="shared" si="4"/>
        <v>4139.311449159328</v>
      </c>
      <c r="J21" s="9">
        <f t="shared" si="5"/>
        <v>12088.408644400786</v>
      </c>
      <c r="K21" s="17">
        <f t="shared" si="6"/>
        <v>695.9663706201002</v>
      </c>
      <c r="L21" s="18">
        <f t="shared" si="7"/>
        <v>932.8722827629762</v>
      </c>
      <c r="M21" s="20">
        <f t="shared" si="10"/>
        <v>-236.905912142876</v>
      </c>
      <c r="N21" s="20">
        <f t="shared" si="11"/>
        <v>2208.155661533091</v>
      </c>
    </row>
    <row r="22" spans="1:14" ht="12">
      <c r="A22">
        <f t="shared" si="8"/>
        <v>2027</v>
      </c>
      <c r="B22" s="2">
        <f>B20*((B25/B20)^(2/5))</f>
        <v>210.6318580920819</v>
      </c>
      <c r="C22" s="2">
        <f t="shared" si="0"/>
        <v>161.55463515662683</v>
      </c>
      <c r="D22" s="2">
        <f t="shared" si="1"/>
        <v>11.759424731198637</v>
      </c>
      <c r="E22" s="2">
        <f>E20*((E25/E20)^(2/5))</f>
        <v>67.06314065052466</v>
      </c>
      <c r="F22" s="2">
        <f t="shared" si="2"/>
        <v>7.511071752858762</v>
      </c>
      <c r="G22" s="2">
        <f t="shared" si="3"/>
        <v>169.06570690948558</v>
      </c>
      <c r="H22" s="2">
        <f t="shared" si="9"/>
        <v>78.8225653817233</v>
      </c>
      <c r="I22" s="14">
        <f t="shared" si="4"/>
        <v>4139.311449159328</v>
      </c>
      <c r="J22" s="9">
        <f t="shared" si="5"/>
        <v>12088.408644400786</v>
      </c>
      <c r="K22" s="17">
        <f t="shared" si="6"/>
        <v>699.815616270649</v>
      </c>
      <c r="L22" s="18">
        <f t="shared" si="7"/>
        <v>952.83938073427</v>
      </c>
      <c r="M22" s="20">
        <f t="shared" si="10"/>
        <v>-253.02376446362098</v>
      </c>
      <c r="N22" s="20">
        <f t="shared" si="11"/>
        <v>2019.1684112539297</v>
      </c>
    </row>
    <row r="23" spans="1:14" ht="12">
      <c r="A23">
        <f t="shared" si="8"/>
        <v>2028</v>
      </c>
      <c r="B23" s="2">
        <f>B20*((B25/B20)^(3/5))</f>
        <v>211.61563673104965</v>
      </c>
      <c r="C23" s="2">
        <f t="shared" si="0"/>
        <v>162.30919337271507</v>
      </c>
      <c r="D23" s="2">
        <f t="shared" si="1"/>
        <v>11.814348383118588</v>
      </c>
      <c r="E23" s="2">
        <f>E20*((E25/E20)^(3/5))</f>
        <v>68.69919003657571</v>
      </c>
      <c r="F23" s="2">
        <f t="shared" si="2"/>
        <v>7.69430928409648</v>
      </c>
      <c r="G23" s="2">
        <f t="shared" si="3"/>
        <v>170.00350265681155</v>
      </c>
      <c r="H23" s="2">
        <f t="shared" si="9"/>
        <v>80.5135384196943</v>
      </c>
      <c r="I23" s="14">
        <f t="shared" si="4"/>
        <v>4139.311449159328</v>
      </c>
      <c r="J23" s="9">
        <f t="shared" si="5"/>
        <v>12088.408644400786</v>
      </c>
      <c r="K23" s="17">
        <f t="shared" si="6"/>
        <v>703.6974449445282</v>
      </c>
      <c r="L23" s="18">
        <f t="shared" si="7"/>
        <v>973.2805538239274</v>
      </c>
      <c r="M23" s="20">
        <f t="shared" si="10"/>
        <v>-269.5831088793992</v>
      </c>
      <c r="N23" s="20">
        <f t="shared" si="11"/>
        <v>1808.1411863008943</v>
      </c>
    </row>
    <row r="24" spans="1:14" ht="12">
      <c r="A24">
        <f t="shared" si="8"/>
        <v>2029</v>
      </c>
      <c r="B24" s="2">
        <f>B20*((B25/B20)^(4/5))</f>
        <v>212.60401021345294</v>
      </c>
      <c r="C24" s="2">
        <f t="shared" si="0"/>
        <v>163.0672758337184</v>
      </c>
      <c r="D24" s="2">
        <f t="shared" si="1"/>
        <v>11.86952856183378</v>
      </c>
      <c r="E24" s="2">
        <f>E20*((E25/E20)^(4/5))</f>
        <v>70.37515192251323</v>
      </c>
      <c r="F24" s="2">
        <f t="shared" si="2"/>
        <v>7.882017015321481</v>
      </c>
      <c r="G24" s="2">
        <f t="shared" si="3"/>
        <v>170.9492928490399</v>
      </c>
      <c r="H24" s="2">
        <f t="shared" si="9"/>
        <v>82.244680484347</v>
      </c>
      <c r="I24" s="14">
        <f t="shared" si="4"/>
        <v>4139.311449159328</v>
      </c>
      <c r="J24" s="9">
        <f t="shared" si="5"/>
        <v>12088.408644400786</v>
      </c>
      <c r="K24" s="17">
        <f t="shared" si="6"/>
        <v>707.6123651157216</v>
      </c>
      <c r="L24" s="18">
        <f t="shared" si="7"/>
        <v>994.2073065229608</v>
      </c>
      <c r="M24" s="20">
        <f t="shared" si="10"/>
        <v>-286.5949414072393</v>
      </c>
      <c r="N24" s="20">
        <f t="shared" si="11"/>
        <v>1573.9823392963808</v>
      </c>
    </row>
    <row r="25" spans="1:14" ht="12">
      <c r="A25">
        <f t="shared" si="8"/>
        <v>2030</v>
      </c>
      <c r="B25" s="2">
        <v>213.597</v>
      </c>
      <c r="C25" s="2">
        <f t="shared" si="0"/>
        <v>163.828899</v>
      </c>
      <c r="D25" s="2">
        <f t="shared" si="1"/>
        <v>11.924966465480077</v>
      </c>
      <c r="E25" s="2">
        <v>72.092</v>
      </c>
      <c r="F25" s="2">
        <f t="shared" si="2"/>
        <v>8.074304</v>
      </c>
      <c r="G25" s="2">
        <f t="shared" si="3"/>
        <v>171.90320300000002</v>
      </c>
      <c r="H25" s="2">
        <f t="shared" si="9"/>
        <v>84.01696646548008</v>
      </c>
      <c r="I25" s="14">
        <f t="shared" si="4"/>
        <v>4139.311449159328</v>
      </c>
      <c r="J25" s="9">
        <f t="shared" si="5"/>
        <v>12088.408644400786</v>
      </c>
      <c r="K25" s="17">
        <f t="shared" si="6"/>
        <v>711.5608963250602</v>
      </c>
      <c r="L25" s="18">
        <f t="shared" si="7"/>
        <v>1015.6314236976405</v>
      </c>
      <c r="M25" s="20">
        <f t="shared" si="10"/>
        <v>-304.0705273725803</v>
      </c>
      <c r="N25" s="20">
        <f t="shared" si="11"/>
        <v>1315.5572997633953</v>
      </c>
    </row>
    <row r="26" spans="1:14" ht="12">
      <c r="A26">
        <f t="shared" si="8"/>
        <v>2031</v>
      </c>
      <c r="B26" s="2">
        <f>B25*((B30/B25)^(1/5))</f>
        <v>215.1092350634601</v>
      </c>
      <c r="C26" s="2">
        <f t="shared" si="0"/>
        <v>164.9887832936739</v>
      </c>
      <c r="D26" s="2">
        <f t="shared" si="1"/>
        <v>12.009393458460712</v>
      </c>
      <c r="E26" s="2">
        <f>E25*((E30/E25)^(1/5))</f>
        <v>73.1506482346832</v>
      </c>
      <c r="F26" s="2">
        <f t="shared" si="2"/>
        <v>8.192872602284519</v>
      </c>
      <c r="G26" s="2">
        <f t="shared" si="3"/>
        <v>173.18165589595841</v>
      </c>
      <c r="H26" s="2">
        <f t="shared" si="9"/>
        <v>85.16004169314391</v>
      </c>
      <c r="I26" s="14">
        <f t="shared" si="4"/>
        <v>4139.311449159328</v>
      </c>
      <c r="J26" s="9">
        <f t="shared" si="5"/>
        <v>12088.408644400786</v>
      </c>
      <c r="K26" s="17">
        <f t="shared" si="6"/>
        <v>716.8528110345117</v>
      </c>
      <c r="L26" s="18">
        <f t="shared" si="7"/>
        <v>1029.4493841609321</v>
      </c>
      <c r="M26" s="20">
        <f t="shared" si="10"/>
        <v>-312.5965731264205</v>
      </c>
      <c r="N26" s="20">
        <f t="shared" si="11"/>
        <v>1041.1118883301133</v>
      </c>
    </row>
    <row r="27" spans="1:14" ht="12">
      <c r="A27">
        <f t="shared" si="8"/>
        <v>2032</v>
      </c>
      <c r="B27" s="2">
        <f>B25*((B30/B25)^(2/5))</f>
        <v>216.6321765267627</v>
      </c>
      <c r="C27" s="2">
        <f t="shared" si="0"/>
        <v>166.156879396027</v>
      </c>
      <c r="D27" s="2">
        <f t="shared" si="1"/>
        <v>12.094418182023182</v>
      </c>
      <c r="E27" s="2">
        <f>E25*((E30/E25)^(2/5))</f>
        <v>74.22484238409753</v>
      </c>
      <c r="F27" s="2">
        <f t="shared" si="2"/>
        <v>8.313182347018923</v>
      </c>
      <c r="G27" s="2">
        <f t="shared" si="3"/>
        <v>174.4700617430459</v>
      </c>
      <c r="H27" s="2">
        <f t="shared" si="9"/>
        <v>86.3192605661207</v>
      </c>
      <c r="I27" s="14">
        <f t="shared" si="4"/>
        <v>4139.311449159328</v>
      </c>
      <c r="J27" s="9">
        <f t="shared" si="5"/>
        <v>12088.408644400786</v>
      </c>
      <c r="K27" s="17">
        <f t="shared" si="6"/>
        <v>722.1859241085247</v>
      </c>
      <c r="L27" s="18">
        <f t="shared" si="7"/>
        <v>1043.4624956057773</v>
      </c>
      <c r="M27" s="20">
        <f t="shared" si="10"/>
        <v>-321.2765714972527</v>
      </c>
      <c r="N27" s="20">
        <f t="shared" si="11"/>
        <v>750.0275615944338</v>
      </c>
    </row>
    <row r="28" spans="1:14" ht="12">
      <c r="A28">
        <f t="shared" si="8"/>
        <v>2033</v>
      </c>
      <c r="B28" s="2">
        <f>B25*((B30/B25)^(3/5))</f>
        <v>218.16590018962992</v>
      </c>
      <c r="C28" s="2">
        <f t="shared" si="0"/>
        <v>167.33324544544615</v>
      </c>
      <c r="D28" s="2">
        <f t="shared" si="1"/>
        <v>12.180044868011304</v>
      </c>
      <c r="E28" s="2">
        <f>E25*((E30/E25)^(3/5))</f>
        <v>75.31481073508743</v>
      </c>
      <c r="F28" s="2">
        <f t="shared" si="2"/>
        <v>8.435258802329793</v>
      </c>
      <c r="G28" s="2">
        <f t="shared" si="3"/>
        <v>175.76850424777595</v>
      </c>
      <c r="H28" s="2">
        <f t="shared" si="9"/>
        <v>87.49485560309874</v>
      </c>
      <c r="I28" s="14">
        <f t="shared" si="4"/>
        <v>4139.311449159328</v>
      </c>
      <c r="J28" s="9">
        <f t="shared" si="5"/>
        <v>12088.408644400786</v>
      </c>
      <c r="K28" s="17">
        <f t="shared" si="6"/>
        <v>727.560582034429</v>
      </c>
      <c r="L28" s="18">
        <f t="shared" si="7"/>
        <v>1057.6735688130975</v>
      </c>
      <c r="M28" s="20">
        <f t="shared" si="10"/>
        <v>-330.1129867786685</v>
      </c>
      <c r="N28" s="20">
        <f t="shared" si="11"/>
        <v>441.66537410200374</v>
      </c>
    </row>
    <row r="29" spans="1:14" ht="12">
      <c r="A29">
        <f t="shared" si="8"/>
        <v>2034</v>
      </c>
      <c r="B29" s="2">
        <f>B25*((B30/B25)^(4/5))</f>
        <v>219.71048238843468</v>
      </c>
      <c r="C29" s="2">
        <f t="shared" si="0"/>
        <v>168.5179399919294</v>
      </c>
      <c r="D29" s="2">
        <f t="shared" si="1"/>
        <v>12.266277778229725</v>
      </c>
      <c r="E29" s="2">
        <f>E25*((E30/E25)^(4/5))</f>
        <v>76.42078492681743</v>
      </c>
      <c r="F29" s="2">
        <f t="shared" si="2"/>
        <v>8.559127911803552</v>
      </c>
      <c r="G29" s="2">
        <f t="shared" si="3"/>
        <v>177.07706790373297</v>
      </c>
      <c r="H29" s="2">
        <f t="shared" si="9"/>
        <v>88.68706270504715</v>
      </c>
      <c r="I29" s="14">
        <f t="shared" si="4"/>
        <v>4139.311449159328</v>
      </c>
      <c r="J29" s="9">
        <f t="shared" si="5"/>
        <v>12088.408644400786</v>
      </c>
      <c r="K29" s="17">
        <f t="shared" si="6"/>
        <v>732.9771345574856</v>
      </c>
      <c r="L29" s="18">
        <f t="shared" si="7"/>
        <v>1072.0854554502066</v>
      </c>
      <c r="M29" s="20">
        <f t="shared" si="10"/>
        <v>-339.10832089272105</v>
      </c>
      <c r="N29" s="20">
        <f t="shared" si="11"/>
        <v>115.36534905824078</v>
      </c>
    </row>
    <row r="30" spans="1:14" ht="12">
      <c r="A30">
        <f t="shared" si="8"/>
        <v>2035</v>
      </c>
      <c r="B30" s="2">
        <v>221.266</v>
      </c>
      <c r="C30" s="2">
        <f t="shared" si="0"/>
        <v>169.71102199999999</v>
      </c>
      <c r="D30" s="2">
        <f t="shared" si="1"/>
        <v>12.353121204656032</v>
      </c>
      <c r="E30" s="2">
        <v>77.543</v>
      </c>
      <c r="F30" s="2">
        <f t="shared" si="2"/>
        <v>8.684816000000001</v>
      </c>
      <c r="G30" s="2">
        <f t="shared" si="3"/>
        <v>178.395838</v>
      </c>
      <c r="H30" s="2">
        <f t="shared" si="9"/>
        <v>89.89612120465604</v>
      </c>
      <c r="I30" s="14">
        <f t="shared" si="4"/>
        <v>4139.311449159328</v>
      </c>
      <c r="J30" s="9">
        <f t="shared" si="5"/>
        <v>12088.408644400786</v>
      </c>
      <c r="K30" s="17">
        <f t="shared" si="6"/>
        <v>738.4359347157726</v>
      </c>
      <c r="L30" s="18">
        <f t="shared" si="7"/>
        <v>1086.7010486684649</v>
      </c>
      <c r="M30" s="20">
        <f t="shared" si="10"/>
        <v>-348.2651139526922</v>
      </c>
      <c r="N30" s="20">
        <f t="shared" si="11"/>
        <v>-229.55416977176247</v>
      </c>
    </row>
    <row r="31" spans="1:14" ht="12">
      <c r="A31">
        <f t="shared" si="8"/>
        <v>2036</v>
      </c>
      <c r="B31" s="2">
        <f>B30*((B35/B30)^(1/5))</f>
        <v>223.06936386186467</v>
      </c>
      <c r="C31" s="2">
        <f t="shared" si="0"/>
        <v>171.0942020820502</v>
      </c>
      <c r="D31" s="2">
        <f t="shared" si="1"/>
        <v>12.453801708491737</v>
      </c>
      <c r="E31" s="2">
        <f>E30*((E35/E30)^(1/5))</f>
        <v>78.2683041222832</v>
      </c>
      <c r="F31" s="2">
        <f t="shared" si="2"/>
        <v>8.766050061695719</v>
      </c>
      <c r="G31" s="2">
        <f t="shared" si="3"/>
        <v>179.86025214374592</v>
      </c>
      <c r="H31" s="2">
        <f t="shared" si="9"/>
        <v>90.72210583077494</v>
      </c>
      <c r="I31" s="14">
        <f t="shared" si="4"/>
        <v>4139.311449159328</v>
      </c>
      <c r="J31" s="9">
        <f t="shared" si="5"/>
        <v>12088.408644400786</v>
      </c>
      <c r="K31" s="17">
        <f t="shared" si="6"/>
        <v>744.4976009472911</v>
      </c>
      <c r="L31" s="18">
        <f t="shared" si="7"/>
        <v>1096.6858883629827</v>
      </c>
      <c r="M31" s="20">
        <f t="shared" si="10"/>
        <v>-352.18828741569166</v>
      </c>
      <c r="N31" s="20">
        <f t="shared" si="11"/>
        <v>-588.3995281108353</v>
      </c>
    </row>
    <row r="32" spans="1:14" ht="12">
      <c r="A32">
        <f t="shared" si="8"/>
        <v>2037</v>
      </c>
      <c r="B32" s="2">
        <f>B30*((B35/B30)^(2/5))</f>
        <v>224.88742551380224</v>
      </c>
      <c r="C32" s="2">
        <f t="shared" si="0"/>
        <v>172.48865536908633</v>
      </c>
      <c r="D32" s="2">
        <f t="shared" si="1"/>
        <v>12.555302779347278</v>
      </c>
      <c r="E32" s="2">
        <f>E30*((E35/E30)^(2/5))</f>
        <v>79.0003924297256</v>
      </c>
      <c r="F32" s="2">
        <f t="shared" si="2"/>
        <v>8.848043952129267</v>
      </c>
      <c r="G32" s="2">
        <f t="shared" si="3"/>
        <v>181.3366993212156</v>
      </c>
      <c r="H32" s="2">
        <f t="shared" si="9"/>
        <v>91.55569520907287</v>
      </c>
      <c r="I32" s="14">
        <f t="shared" si="4"/>
        <v>4139.311449159328</v>
      </c>
      <c r="J32" s="9">
        <f t="shared" si="5"/>
        <v>12088.408644400786</v>
      </c>
      <c r="K32" s="17">
        <f t="shared" si="6"/>
        <v>750.6090756530702</v>
      </c>
      <c r="L32" s="18">
        <f t="shared" si="7"/>
        <v>1106.76265740948</v>
      </c>
      <c r="M32" s="20">
        <f t="shared" si="10"/>
        <v>-356.1535817564097</v>
      </c>
      <c r="N32" s="20">
        <f t="shared" si="11"/>
        <v>-961.6166961824591</v>
      </c>
    </row>
    <row r="33" spans="1:14" ht="12">
      <c r="A33">
        <f t="shared" si="8"/>
        <v>2038</v>
      </c>
      <c r="B33" s="2">
        <f>B30*((B35/B30)^(3/5))</f>
        <v>226.72030474585495</v>
      </c>
      <c r="C33" s="2">
        <f t="shared" si="0"/>
        <v>173.89447374007074</v>
      </c>
      <c r="D33" s="2">
        <f t="shared" si="1"/>
        <v>12.657631105014321</v>
      </c>
      <c r="E33" s="2">
        <f>E30*((E35/E30)^(3/5))</f>
        <v>79.73932837869931</v>
      </c>
      <c r="F33" s="2">
        <f t="shared" si="2"/>
        <v>8.930804778414323</v>
      </c>
      <c r="G33" s="2">
        <f t="shared" si="3"/>
        <v>182.82527851848505</v>
      </c>
      <c r="H33" s="2">
        <f t="shared" si="9"/>
        <v>92.39695948371363</v>
      </c>
      <c r="I33" s="14">
        <f t="shared" si="4"/>
        <v>4139.311449159328</v>
      </c>
      <c r="J33" s="9">
        <f t="shared" si="5"/>
        <v>12088.408644400786</v>
      </c>
      <c r="K33" s="17">
        <f t="shared" si="6"/>
        <v>756.7707685673081</v>
      </c>
      <c r="L33" s="18">
        <f t="shared" si="7"/>
        <v>1116.932203739273</v>
      </c>
      <c r="M33" s="20">
        <f t="shared" si="10"/>
        <v>-360.16143517196497</v>
      </c>
      <c r="N33" s="20">
        <f t="shared" si="11"/>
        <v>-1349.6650155437153</v>
      </c>
    </row>
    <row r="34" spans="1:14" ht="12">
      <c r="A34">
        <f t="shared" si="8"/>
        <v>2039</v>
      </c>
      <c r="B34" s="2">
        <f>B30*((B35/B30)^(4/5))</f>
        <v>228.5681223243786</v>
      </c>
      <c r="C34" s="2">
        <f t="shared" si="0"/>
        <v>175.3117498227984</v>
      </c>
      <c r="D34" s="2">
        <f t="shared" si="1"/>
        <v>12.760793427791416</v>
      </c>
      <c r="E34" s="2">
        <f>E30*((E35/E30)^(4/5))</f>
        <v>80.48517601912027</v>
      </c>
      <c r="F34" s="2">
        <f t="shared" si="2"/>
        <v>9.014339714141471</v>
      </c>
      <c r="G34" s="2">
        <f t="shared" si="3"/>
        <v>184.32608953693986</v>
      </c>
      <c r="H34" s="2">
        <f t="shared" si="9"/>
        <v>93.24596944691169</v>
      </c>
      <c r="I34" s="14">
        <f t="shared" si="4"/>
        <v>4139.311449159328</v>
      </c>
      <c r="J34" s="9">
        <f t="shared" si="5"/>
        <v>12088.408644400786</v>
      </c>
      <c r="K34" s="17">
        <f t="shared" si="6"/>
        <v>762.9830927990225</v>
      </c>
      <c r="L34" s="18">
        <f t="shared" si="7"/>
        <v>1127.195383117579</v>
      </c>
      <c r="M34" s="20">
        <f t="shared" si="10"/>
        <v>-364.2122903185565</v>
      </c>
      <c r="N34" s="20">
        <f t="shared" si="11"/>
        <v>-1753.0175913130392</v>
      </c>
    </row>
    <row r="35" spans="1:14" ht="12">
      <c r="A35">
        <f t="shared" si="8"/>
        <v>2040</v>
      </c>
      <c r="B35" s="2">
        <v>230.431</v>
      </c>
      <c r="C35" s="2">
        <f t="shared" si="0"/>
        <v>176.740577</v>
      </c>
      <c r="D35" s="2">
        <f t="shared" si="1"/>
        <v>12.864796544928252</v>
      </c>
      <c r="E35" s="2">
        <v>81.238</v>
      </c>
      <c r="F35" s="2">
        <f t="shared" si="2"/>
        <v>9.098656</v>
      </c>
      <c r="G35" s="2">
        <f t="shared" si="3"/>
        <v>185.839233</v>
      </c>
      <c r="H35" s="2">
        <f t="shared" si="9"/>
        <v>94.10279654492825</v>
      </c>
      <c r="I35" s="14">
        <f t="shared" si="4"/>
        <v>4139.311449159328</v>
      </c>
      <c r="J35" s="9">
        <f t="shared" si="5"/>
        <v>12088.408644400786</v>
      </c>
      <c r="K35" s="17">
        <f t="shared" si="6"/>
        <v>769.246464859888</v>
      </c>
      <c r="L35" s="18">
        <f t="shared" si="7"/>
        <v>1137.5530592159992</v>
      </c>
      <c r="M35" s="20">
        <f t="shared" si="10"/>
        <v>-368.3065943561112</v>
      </c>
      <c r="N35" s="20">
        <f t="shared" si="11"/>
        <v>-2172.1616958172285</v>
      </c>
    </row>
    <row r="36" spans="1:14" ht="12">
      <c r="A36">
        <f t="shared" si="8"/>
        <v>2041</v>
      </c>
      <c r="B36" s="2">
        <f>B35*((B40/B35)^(1/5))</f>
        <v>232.30080804985718</v>
      </c>
      <c r="C36" s="2">
        <f t="shared" si="0"/>
        <v>178.17471977424046</v>
      </c>
      <c r="D36" s="2">
        <f t="shared" si="1"/>
        <v>12.969186579860537</v>
      </c>
      <c r="E36" s="2">
        <f>E35*((E40/E35)^(1/5))</f>
        <v>81.87163813232351</v>
      </c>
      <c r="F36" s="2">
        <f t="shared" si="2"/>
        <v>9.169623470820234</v>
      </c>
      <c r="G36" s="2">
        <f t="shared" si="3"/>
        <v>187.34434324506068</v>
      </c>
      <c r="H36" s="2">
        <f t="shared" si="9"/>
        <v>94.84082471218404</v>
      </c>
      <c r="I36" s="14">
        <f t="shared" si="4"/>
        <v>4139.311449159328</v>
      </c>
      <c r="J36" s="9">
        <f t="shared" si="5"/>
        <v>12088.408644400786</v>
      </c>
      <c r="K36" s="17">
        <f t="shared" si="6"/>
        <v>775.4765849295147</v>
      </c>
      <c r="L36" s="18">
        <f t="shared" si="7"/>
        <v>1146.4746452928653</v>
      </c>
      <c r="M36" s="20">
        <f t="shared" si="10"/>
        <v>-370.99806036335053</v>
      </c>
      <c r="N36" s="20">
        <f t="shared" si="11"/>
        <v>-2606.1524453592783</v>
      </c>
    </row>
    <row r="37" spans="1:14" ht="12">
      <c r="A37">
        <f t="shared" si="8"/>
        <v>2042</v>
      </c>
      <c r="B37" s="2">
        <f>B35*((B40/B35)^(2/5))</f>
        <v>234.18578845995802</v>
      </c>
      <c r="C37" s="2">
        <f t="shared" si="0"/>
        <v>179.6204997487878</v>
      </c>
      <c r="D37" s="2">
        <f t="shared" si="1"/>
        <v>13.074423676723038</v>
      </c>
      <c r="E37" s="2">
        <f>E35*((E40/E35)^(2/5))</f>
        <v>82.5102184995954</v>
      </c>
      <c r="F37" s="2">
        <f t="shared" si="2"/>
        <v>9.241144471954685</v>
      </c>
      <c r="G37" s="2">
        <f t="shared" si="3"/>
        <v>188.8616442207425</v>
      </c>
      <c r="H37" s="2">
        <f t="shared" si="9"/>
        <v>95.58464217631844</v>
      </c>
      <c r="I37" s="14">
        <f t="shared" si="4"/>
        <v>4139.311449159328</v>
      </c>
      <c r="J37" s="9">
        <f t="shared" si="5"/>
        <v>12088.408644400786</v>
      </c>
      <c r="K37" s="17">
        <f t="shared" si="6"/>
        <v>781.757166229975</v>
      </c>
      <c r="L37" s="18">
        <f t="shared" si="7"/>
        <v>1155.4662147561637</v>
      </c>
      <c r="M37" s="20">
        <f t="shared" si="10"/>
        <v>-373.70904852618867</v>
      </c>
      <c r="N37" s="20">
        <f t="shared" si="11"/>
        <v>-3055.439914800886</v>
      </c>
    </row>
    <row r="38" spans="1:14" ht="12">
      <c r="A38">
        <f t="shared" si="8"/>
        <v>2043</v>
      </c>
      <c r="B38" s="2">
        <f>B35*((B40/B35)^(3/5))</f>
        <v>236.0860643448198</v>
      </c>
      <c r="C38" s="2">
        <f t="shared" si="0"/>
        <v>181.07801135247678</v>
      </c>
      <c r="D38" s="2">
        <f t="shared" si="1"/>
        <v>13.180514708910462</v>
      </c>
      <c r="E38" s="2">
        <f>E35*((E40/E35)^(3/5))</f>
        <v>83.15377965013687</v>
      </c>
      <c r="F38" s="2">
        <f t="shared" si="2"/>
        <v>9.313223320815329</v>
      </c>
      <c r="G38" s="2">
        <f t="shared" si="3"/>
        <v>190.3912346732921</v>
      </c>
      <c r="H38" s="2">
        <f t="shared" si="9"/>
        <v>96.33429435904733</v>
      </c>
      <c r="I38" s="14">
        <f t="shared" si="4"/>
        <v>4139.311449159328</v>
      </c>
      <c r="J38" s="9">
        <f t="shared" si="5"/>
        <v>12088.408644400786</v>
      </c>
      <c r="K38" s="17">
        <f t="shared" si="6"/>
        <v>788.0886175027383</v>
      </c>
      <c r="L38" s="18">
        <f t="shared" si="7"/>
        <v>1164.5283166821575</v>
      </c>
      <c r="M38" s="20">
        <f t="shared" si="10"/>
        <v>-376.4396991794192</v>
      </c>
      <c r="N38" s="20">
        <f t="shared" si="11"/>
        <v>-3520.487371509531</v>
      </c>
    </row>
    <row r="39" spans="1:14" ht="12">
      <c r="A39">
        <f t="shared" si="8"/>
        <v>2044</v>
      </c>
      <c r="B39" s="2">
        <f>B35*((B40/B35)^(4/5))</f>
        <v>238.0017598179594</v>
      </c>
      <c r="C39" s="2">
        <f t="shared" si="0"/>
        <v>182.54734978037487</v>
      </c>
      <c r="D39" s="2">
        <f t="shared" si="1"/>
        <v>13.287466605590947</v>
      </c>
      <c r="E39" s="2">
        <f>E35*((E40/E35)^(4/5))</f>
        <v>83.80236043293743</v>
      </c>
      <c r="F39" s="2">
        <f t="shared" si="2"/>
        <v>9.385864368488992</v>
      </c>
      <c r="G39" s="2">
        <f t="shared" si="3"/>
        <v>191.93321414886387</v>
      </c>
      <c r="H39" s="2">
        <f t="shared" si="9"/>
        <v>97.08982703852838</v>
      </c>
      <c r="I39" s="14">
        <f t="shared" si="4"/>
        <v>4139.311449159328</v>
      </c>
      <c r="J39" s="9">
        <f t="shared" si="5"/>
        <v>12088.408644400786</v>
      </c>
      <c r="K39" s="17">
        <f t="shared" si="6"/>
        <v>794.4713508003414</v>
      </c>
      <c r="L39" s="18">
        <f t="shared" si="7"/>
        <v>1173.6615044559237</v>
      </c>
      <c r="M39" s="20">
        <f t="shared" si="10"/>
        <v>-379.1901536555823</v>
      </c>
      <c r="N39" s="20">
        <f t="shared" si="11"/>
        <v>-4001.7716589388897</v>
      </c>
    </row>
    <row r="40" spans="1:14" ht="12">
      <c r="A40">
        <f t="shared" si="8"/>
        <v>2045</v>
      </c>
      <c r="B40" s="2">
        <v>239.933</v>
      </c>
      <c r="C40" s="2">
        <f t="shared" si="0"/>
        <v>184.028611</v>
      </c>
      <c r="D40" s="2">
        <f t="shared" si="1"/>
        <v>13.395286352158651</v>
      </c>
      <c r="E40" s="2">
        <v>84.456</v>
      </c>
      <c r="F40" s="2">
        <f t="shared" si="2"/>
        <v>9.459072</v>
      </c>
      <c r="G40" s="2">
        <f t="shared" si="3"/>
        <v>193.487683</v>
      </c>
      <c r="H40" s="2">
        <f t="shared" si="9"/>
        <v>97.85128635215865</v>
      </c>
      <c r="I40" s="14">
        <f t="shared" si="4"/>
        <v>4139.311449159328</v>
      </c>
      <c r="J40" s="9">
        <f t="shared" si="5"/>
        <v>12088.408644400786</v>
      </c>
      <c r="K40" s="17">
        <f t="shared" si="6"/>
        <v>800.9057815132106</v>
      </c>
      <c r="L40" s="18">
        <f t="shared" si="7"/>
        <v>1182.8663358051715</v>
      </c>
      <c r="M40" s="20">
        <f t="shared" si="10"/>
        <v>-381.9605542919609</v>
      </c>
      <c r="N40" s="20">
        <f t="shared" si="11"/>
        <v>-4499.783591340078</v>
      </c>
    </row>
    <row r="41" spans="1:14" ht="12">
      <c r="A41">
        <f t="shared" si="8"/>
        <v>2046</v>
      </c>
      <c r="B41" s="2">
        <f>B40*((B45/B40)^(1/5))</f>
        <v>241.69823385841983</v>
      </c>
      <c r="C41" s="2">
        <f t="shared" si="0"/>
        <v>185.382545369408</v>
      </c>
      <c r="D41" s="2">
        <f t="shared" si="1"/>
        <v>13.493838085401096</v>
      </c>
      <c r="E41" s="2">
        <f>E40*((E45/E40)^(1/5))</f>
        <v>85.25879242947737</v>
      </c>
      <c r="F41" s="2">
        <f t="shared" si="2"/>
        <v>9.548984752101465</v>
      </c>
      <c r="G41" s="2">
        <f t="shared" si="3"/>
        <v>194.93153012150947</v>
      </c>
      <c r="H41" s="2">
        <f t="shared" si="9"/>
        <v>98.75263051487846</v>
      </c>
      <c r="I41" s="14">
        <f t="shared" si="4"/>
        <v>4139.311449159328</v>
      </c>
      <c r="J41" s="9">
        <f t="shared" si="5"/>
        <v>12088.408644400786</v>
      </c>
      <c r="K41" s="17">
        <f t="shared" si="6"/>
        <v>806.8823144341105</v>
      </c>
      <c r="L41" s="18">
        <f t="shared" si="7"/>
        <v>1193.7621523733737</v>
      </c>
      <c r="M41" s="20">
        <f t="shared" si="10"/>
        <v>-386.8798379392632</v>
      </c>
      <c r="N41" s="20">
        <f t="shared" si="11"/>
        <v>-5017.157153428202</v>
      </c>
    </row>
    <row r="42" spans="1:14" ht="12">
      <c r="A42">
        <f t="shared" si="8"/>
        <v>2047</v>
      </c>
      <c r="B42" s="2">
        <f>B40*((B45/B40)^(2/5))</f>
        <v>243.47645488648664</v>
      </c>
      <c r="C42" s="2">
        <f t="shared" si="0"/>
        <v>186.74644089793526</v>
      </c>
      <c r="D42" s="2">
        <f t="shared" si="1"/>
        <v>13.593114882958684</v>
      </c>
      <c r="E42" s="2">
        <f>E40*((E45/E40)^(2/5))</f>
        <v>86.06921576362494</v>
      </c>
      <c r="F42" s="2">
        <f t="shared" si="2"/>
        <v>9.639752165525993</v>
      </c>
      <c r="G42" s="2">
        <f t="shared" si="3"/>
        <v>196.38619306346126</v>
      </c>
      <c r="H42" s="2">
        <f t="shared" si="9"/>
        <v>99.66233064658363</v>
      </c>
      <c r="I42" s="14">
        <f t="shared" si="4"/>
        <v>4139.311449159328</v>
      </c>
      <c r="J42" s="9">
        <f t="shared" si="5"/>
        <v>12088.408644400786</v>
      </c>
      <c r="K42" s="17">
        <f t="shared" si="6"/>
        <v>812.9036174043994</v>
      </c>
      <c r="L42" s="18">
        <f t="shared" si="7"/>
        <v>1204.758979309291</v>
      </c>
      <c r="M42" s="20">
        <f t="shared" si="10"/>
        <v>-391.85536190489154</v>
      </c>
      <c r="N42" s="20">
        <f t="shared" si="11"/>
        <v>-5554.510072782511</v>
      </c>
    </row>
    <row r="43" spans="1:14" ht="12">
      <c r="A43">
        <f t="shared" si="8"/>
        <v>2048</v>
      </c>
      <c r="B43" s="2">
        <f>B40*((B45/B40)^(3/5))</f>
        <v>245.26775863333955</v>
      </c>
      <c r="C43" s="2">
        <f t="shared" si="0"/>
        <v>188.12037087177143</v>
      </c>
      <c r="D43" s="2">
        <f t="shared" si="1"/>
        <v>13.693122079270944</v>
      </c>
      <c r="E43" s="2">
        <f>E40*((E45/E40)^(3/5))</f>
        <v>86.88734253763855</v>
      </c>
      <c r="F43" s="2">
        <f t="shared" si="2"/>
        <v>9.731382364215518</v>
      </c>
      <c r="G43" s="2">
        <f t="shared" si="3"/>
        <v>197.85175323598693</v>
      </c>
      <c r="H43" s="2">
        <f t="shared" si="9"/>
        <v>100.5804646169095</v>
      </c>
      <c r="I43" s="14">
        <f t="shared" si="4"/>
        <v>4139.311449159328</v>
      </c>
      <c r="J43" s="9">
        <f t="shared" si="5"/>
        <v>12088.408644400786</v>
      </c>
      <c r="K43" s="17">
        <f t="shared" si="6"/>
        <v>818.9700274059668</v>
      </c>
      <c r="L43" s="18">
        <f t="shared" si="7"/>
        <v>1215.8577579328962</v>
      </c>
      <c r="M43" s="20">
        <f t="shared" si="10"/>
        <v>-396.88773052692943</v>
      </c>
      <c r="N43" s="20">
        <f t="shared" si="11"/>
        <v>-6112.478595420133</v>
      </c>
    </row>
    <row r="44" spans="1:14" ht="12">
      <c r="A44">
        <f t="shared" si="8"/>
        <v>2049</v>
      </c>
      <c r="B44" s="2">
        <f>B40*((B45/B40)^(4/5))</f>
        <v>247.07224135109124</v>
      </c>
      <c r="C44" s="2">
        <f t="shared" si="0"/>
        <v>189.50440911628698</v>
      </c>
      <c r="D44" s="2">
        <f t="shared" si="1"/>
        <v>13.793865048023909</v>
      </c>
      <c r="E44" s="2">
        <f>E40*((E45/E40)^(4/5))</f>
        <v>87.71324597619382</v>
      </c>
      <c r="F44" s="2">
        <f t="shared" si="2"/>
        <v>9.823883549333708</v>
      </c>
      <c r="G44" s="2">
        <f t="shared" si="3"/>
        <v>199.3282926656207</v>
      </c>
      <c r="H44" s="2">
        <f t="shared" si="9"/>
        <v>101.50711102421772</v>
      </c>
      <c r="I44" s="14">
        <f t="shared" si="4"/>
        <v>4139.311449159328</v>
      </c>
      <c r="J44" s="9">
        <f t="shared" si="5"/>
        <v>12088.408644400786</v>
      </c>
      <c r="K44" s="17">
        <f t="shared" si="6"/>
        <v>825.081883972185</v>
      </c>
      <c r="L44" s="18">
        <f t="shared" si="7"/>
        <v>1227.0594383733037</v>
      </c>
      <c r="M44" s="20">
        <f t="shared" si="10"/>
        <v>-401.9775544011187</v>
      </c>
      <c r="N44" s="20">
        <f t="shared" si="11"/>
        <v>-6691.718029088436</v>
      </c>
    </row>
    <row r="45" spans="1:14" ht="12">
      <c r="A45">
        <f>A44+1</f>
        <v>2050</v>
      </c>
      <c r="B45" s="2">
        <v>248.89</v>
      </c>
      <c r="C45" s="2">
        <f t="shared" si="0"/>
        <v>190.89863</v>
      </c>
      <c r="D45" s="2">
        <f t="shared" si="1"/>
        <v>13.895349202438874</v>
      </c>
      <c r="E45" s="2">
        <v>88.547</v>
      </c>
      <c r="F45" s="2">
        <f t="shared" si="2"/>
        <v>9.917264</v>
      </c>
      <c r="G45" s="2">
        <f t="shared" si="3"/>
        <v>200.815894</v>
      </c>
      <c r="H45" s="2">
        <f t="shared" si="9"/>
        <v>102.44234920243888</v>
      </c>
      <c r="I45" s="14">
        <f t="shared" si="4"/>
        <v>4139.311449159328</v>
      </c>
      <c r="J45" s="9">
        <f t="shared" si="5"/>
        <v>12088.408644400786</v>
      </c>
      <c r="K45" s="17">
        <f t="shared" si="6"/>
        <v>831.239529207366</v>
      </c>
      <c r="L45" s="18">
        <f t="shared" si="7"/>
        <v>1238.364979651486</v>
      </c>
      <c r="M45" s="20">
        <f t="shared" si="10"/>
        <v>-407.12545044412</v>
      </c>
      <c r="N45" s="20">
        <f t="shared" si="11"/>
        <v>-7292.90330237612</v>
      </c>
    </row>
    <row r="46" spans="2:3" ht="12">
      <c r="B46" s="25"/>
      <c r="C46" s="25"/>
    </row>
    <row r="47" spans="2:3" ht="12">
      <c r="B47" s="26"/>
      <c r="C47" s="25"/>
    </row>
    <row r="48" spans="2:3" ht="12">
      <c r="B48" s="26"/>
      <c r="C48" s="25"/>
    </row>
    <row r="49" spans="2:3" ht="12">
      <c r="B49" s="26"/>
      <c r="C49" s="25"/>
    </row>
    <row r="50" spans="2:3" ht="12">
      <c r="B50" s="26"/>
      <c r="C50" s="25"/>
    </row>
    <row r="51" spans="2:3" ht="12">
      <c r="B51" s="26"/>
      <c r="C51" s="25"/>
    </row>
    <row r="52" spans="2:3" ht="12">
      <c r="B52" s="26"/>
      <c r="C52" s="27"/>
    </row>
    <row r="53" spans="2:3" ht="12">
      <c r="B53" s="26"/>
      <c r="C53" s="25"/>
    </row>
    <row r="54" spans="2:3" ht="12">
      <c r="B54" s="26"/>
      <c r="C54" s="25"/>
    </row>
    <row r="55" spans="2:3" ht="12">
      <c r="B55" s="26"/>
      <c r="C55" s="25"/>
    </row>
    <row r="56" spans="2:3" ht="12">
      <c r="B56" s="25"/>
      <c r="C56" s="25"/>
    </row>
  </sheetData>
  <mergeCells count="4">
    <mergeCell ref="B1:H1"/>
    <mergeCell ref="K1:N1"/>
    <mergeCell ref="B2:D2"/>
    <mergeCell ref="E2:F2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11.421875" defaultRowHeight="12.75"/>
  <cols>
    <col min="1" max="6" width="9.7109375" style="0" customWidth="1"/>
    <col min="7" max="7" width="9.7109375" style="6" customWidth="1"/>
    <col min="8" max="16384" width="9.7109375" style="0" customWidth="1"/>
  </cols>
  <sheetData>
    <row r="1" spans="1:7" ht="12.75">
      <c r="A1" s="21" t="s">
        <v>29</v>
      </c>
      <c r="D1" s="6">
        <f>NPV(return,B8:B50)</f>
        <v>-4613.8020493331305</v>
      </c>
      <c r="E1" t="s">
        <v>50</v>
      </c>
      <c r="G1"/>
    </row>
    <row r="2" spans="1:7" ht="12.75">
      <c r="A2" s="21"/>
      <c r="D2" s="6">
        <f>assets2008</f>
        <v>2418.7</v>
      </c>
      <c r="E2" t="s">
        <v>48</v>
      </c>
      <c r="G2"/>
    </row>
    <row r="3" spans="1:7" ht="12.75">
      <c r="A3" s="21"/>
      <c r="D3" s="6">
        <f>-(D1+D2)</f>
        <v>2195.1020493331307</v>
      </c>
      <c r="E3" t="s">
        <v>49</v>
      </c>
      <c r="G3"/>
    </row>
    <row r="4" ht="12.75"/>
    <row r="5" spans="3:9" ht="12.75">
      <c r="C5" t="s">
        <v>30</v>
      </c>
      <c r="D5" t="s">
        <v>33</v>
      </c>
      <c r="E5" t="s">
        <v>35</v>
      </c>
      <c r="G5" s="6" t="s">
        <v>27</v>
      </c>
      <c r="H5" t="s">
        <v>31</v>
      </c>
      <c r="I5" s="23"/>
    </row>
    <row r="6" spans="3:8" ht="12.75">
      <c r="C6" t="s">
        <v>28</v>
      </c>
      <c r="D6" t="s">
        <v>32</v>
      </c>
      <c r="E6" t="s">
        <v>36</v>
      </c>
      <c r="G6" s="6" t="s">
        <v>28</v>
      </c>
      <c r="H6" t="s">
        <v>38</v>
      </c>
    </row>
    <row r="7" spans="1:8" ht="12.75">
      <c r="A7" s="1" t="s">
        <v>0</v>
      </c>
      <c r="B7" t="s">
        <v>12</v>
      </c>
      <c r="C7" t="s">
        <v>12</v>
      </c>
      <c r="D7" t="s">
        <v>34</v>
      </c>
      <c r="E7" t="s">
        <v>47</v>
      </c>
      <c r="G7" s="6" t="s">
        <v>20</v>
      </c>
      <c r="H7" t="s">
        <v>20</v>
      </c>
    </row>
    <row r="8" spans="1:8" ht="12.75">
      <c r="A8">
        <v>2008</v>
      </c>
      <c r="B8" s="6"/>
      <c r="C8" s="22"/>
      <c r="D8" s="6"/>
      <c r="E8" s="6">
        <f aca="true" t="shared" si="0" ref="E8:E50">assets+NPVtoDate</f>
        <v>2418.7</v>
      </c>
      <c r="F8" s="6"/>
      <c r="G8" s="6">
        <f>assets</f>
        <v>2418.7</v>
      </c>
      <c r="H8" s="22">
        <f aca="true" t="shared" si="1" ref="H8:H50">FV/((1+return)^(year-yearzero))</f>
        <v>2418.7</v>
      </c>
    </row>
    <row r="9" spans="1:8" ht="12.75">
      <c r="A9">
        <f>A8+1</f>
        <v>2009</v>
      </c>
      <c r="B9" s="6">
        <f>Projections!M4</f>
        <v>22.49378193223845</v>
      </c>
      <c r="C9" s="22">
        <f aca="true" t="shared" si="2" ref="C9:C50">flow/((1+return)^(year-yearzero))</f>
        <v>21.859846387015015</v>
      </c>
      <c r="D9" s="6">
        <f>SUM($C$9:$C9)</f>
        <v>21.859846387015015</v>
      </c>
      <c r="E9" s="6">
        <f t="shared" si="0"/>
        <v>2440.5598463870147</v>
      </c>
      <c r="F9" s="6"/>
      <c r="G9" s="6">
        <f>Projections!N4</f>
        <v>2511.3360819322384</v>
      </c>
      <c r="H9" s="22">
        <f t="shared" si="1"/>
        <v>2440.559846387015</v>
      </c>
    </row>
    <row r="10" spans="1:8" ht="12.75">
      <c r="A10">
        <f aca="true" t="shared" si="3" ref="A10:A49">A9+1</f>
        <v>2010</v>
      </c>
      <c r="B10" s="6">
        <f>Projections!M5</f>
        <v>19.306321772428532</v>
      </c>
      <c r="C10" s="22">
        <f t="shared" si="2"/>
        <v>18.233447488743384</v>
      </c>
      <c r="D10" s="6">
        <f>SUM($C$9:$C10)</f>
        <v>40.0932938757584</v>
      </c>
      <c r="E10" s="6">
        <f t="shared" si="0"/>
        <v>2458.793293875758</v>
      </c>
      <c r="F10" s="6"/>
      <c r="G10" s="6">
        <f>Projections!N5</f>
        <v>2603.4711500807016</v>
      </c>
      <c r="H10" s="22">
        <f>FV/((1+return)^(year-yearzero))</f>
        <v>2458.793293875758</v>
      </c>
    </row>
    <row r="11" spans="1:8" ht="12">
      <c r="A11">
        <f t="shared" si="3"/>
        <v>2011</v>
      </c>
      <c r="B11" s="6">
        <f>Projections!M6</f>
        <v>7.734007827683399</v>
      </c>
      <c r="C11" s="22">
        <f t="shared" si="2"/>
        <v>7.098367547630735</v>
      </c>
      <c r="D11" s="6">
        <f>SUM($C$9:$C11)</f>
        <v>47.191661423389135</v>
      </c>
      <c r="E11" s="6">
        <f t="shared" si="0"/>
        <v>2465.891661423389</v>
      </c>
      <c r="F11" s="6"/>
      <c r="G11" s="6">
        <f>Projections!N6</f>
        <v>2686.7058212607253</v>
      </c>
      <c r="H11" s="22">
        <f t="shared" si="1"/>
        <v>2465.8916614233895</v>
      </c>
    </row>
    <row r="12" spans="1:8" ht="12">
      <c r="A12">
        <f t="shared" si="3"/>
        <v>2012</v>
      </c>
      <c r="B12" s="6">
        <f>Projections!M7</f>
        <v>-4.267450691672593</v>
      </c>
      <c r="C12" s="22">
        <f t="shared" si="2"/>
        <v>-3.8063350377265532</v>
      </c>
      <c r="D12" s="6">
        <f>SUM($C$9:$C12)</f>
        <v>43.38532638566258</v>
      </c>
      <c r="E12" s="6">
        <f t="shared" si="0"/>
        <v>2462.0853263856625</v>
      </c>
      <c r="F12" s="6"/>
      <c r="G12" s="6">
        <f>Projections!N7</f>
        <v>2760.352839385613</v>
      </c>
      <c r="H12" s="22">
        <f t="shared" si="1"/>
        <v>2462.085326385662</v>
      </c>
    </row>
    <row r="13" spans="1:8" ht="12">
      <c r="A13">
        <f t="shared" si="3"/>
        <v>2013</v>
      </c>
      <c r="B13" s="6">
        <f>Projections!M8</f>
        <v>-16.711730608711036</v>
      </c>
      <c r="C13" s="22">
        <f t="shared" si="2"/>
        <v>-14.485868966895938</v>
      </c>
      <c r="D13" s="6">
        <f>SUM($C$9:$C13)</f>
        <v>28.899457418766644</v>
      </c>
      <c r="E13" s="6">
        <f t="shared" si="0"/>
        <v>2447.5994574187666</v>
      </c>
      <c r="F13" s="6"/>
      <c r="G13" s="6">
        <f>Projections!N8</f>
        <v>2823.6913411190844</v>
      </c>
      <c r="H13" s="22">
        <f t="shared" si="1"/>
        <v>2447.599457418766</v>
      </c>
    </row>
    <row r="14" spans="1:8" ht="12">
      <c r="A14">
        <f t="shared" si="3"/>
        <v>2014</v>
      </c>
      <c r="B14" s="6">
        <f>Projections!M9</f>
        <v>-29.612933640480378</v>
      </c>
      <c r="C14" s="22">
        <f t="shared" si="2"/>
        <v>-24.945326052872346</v>
      </c>
      <c r="D14" s="6">
        <f>SUM($C$9:$C14)</f>
        <v>3.9541313658942983</v>
      </c>
      <c r="E14" s="6">
        <f t="shared" si="0"/>
        <v>2422.654131365894</v>
      </c>
      <c r="F14" s="6"/>
      <c r="G14" s="6">
        <f>Projections!N9</f>
        <v>2875.9654563710574</v>
      </c>
      <c r="H14" s="22">
        <f t="shared" si="1"/>
        <v>2422.6541313658936</v>
      </c>
    </row>
    <row r="15" spans="1:8" ht="12">
      <c r="A15">
        <f t="shared" si="3"/>
        <v>2015</v>
      </c>
      <c r="B15" s="6">
        <f>Projections!M10</f>
        <v>-42.985599535300594</v>
      </c>
      <c r="C15" s="22">
        <f t="shared" si="2"/>
        <v>-35.18968384668646</v>
      </c>
      <c r="D15" s="6">
        <f>SUM($C$9:$C15)</f>
        <v>-31.23555248079216</v>
      </c>
      <c r="E15" s="6">
        <f t="shared" si="0"/>
        <v>2387.4644475192076</v>
      </c>
      <c r="F15" s="6"/>
      <c r="G15" s="6">
        <f>Projections!N10</f>
        <v>2916.3828550705175</v>
      </c>
      <c r="H15" s="22">
        <f t="shared" si="1"/>
        <v>2387.464447519207</v>
      </c>
    </row>
    <row r="16" spans="1:8" ht="12">
      <c r="A16">
        <f t="shared" si="3"/>
        <v>2016</v>
      </c>
      <c r="B16" s="6">
        <f>Projections!M11</f>
        <v>-58.23154507207846</v>
      </c>
      <c r="C16" s="22">
        <f t="shared" si="2"/>
        <v>-46.32712138442929</v>
      </c>
      <c r="D16" s="6">
        <f>SUM($C$9:$C16)</f>
        <v>-77.56267386522146</v>
      </c>
      <c r="E16" s="6">
        <f t="shared" si="0"/>
        <v>2341.1373261347785</v>
      </c>
      <c r="F16" s="6"/>
      <c r="G16" s="6">
        <f>Projections!N11</f>
        <v>2942.7264127954836</v>
      </c>
      <c r="H16" s="22">
        <f t="shared" si="1"/>
        <v>2341.1373261347776</v>
      </c>
    </row>
    <row r="17" spans="1:8" ht="12">
      <c r="A17">
        <f t="shared" si="3"/>
        <v>2017</v>
      </c>
      <c r="B17" s="6">
        <f>Projections!M12</f>
        <v>-74.02306780548804</v>
      </c>
      <c r="C17" s="22">
        <f t="shared" si="2"/>
        <v>-57.230653778670806</v>
      </c>
      <c r="D17" s="6">
        <f>SUM($C$9:$C17)</f>
        <v>-134.79332764389227</v>
      </c>
      <c r="E17" s="6">
        <f t="shared" si="0"/>
        <v>2283.9066723561077</v>
      </c>
      <c r="F17" s="6"/>
      <c r="G17" s="6">
        <f>Projections!N12</f>
        <v>2954.0424109610644</v>
      </c>
      <c r="H17" s="22">
        <f t="shared" si="1"/>
        <v>2283.906672356107</v>
      </c>
    </row>
    <row r="18" spans="1:8" ht="12">
      <c r="A18">
        <f t="shared" si="3"/>
        <v>2018</v>
      </c>
      <c r="B18" s="6">
        <f>Projections!M13</f>
        <v>-90.37783146091829</v>
      </c>
      <c r="C18" s="22">
        <f t="shared" si="2"/>
        <v>-67.90600310330363</v>
      </c>
      <c r="D18" s="6">
        <f>SUM($C$9:$C18)</f>
        <v>-202.69933074719592</v>
      </c>
      <c r="E18" s="6">
        <f t="shared" si="0"/>
        <v>2216.000669252804</v>
      </c>
      <c r="F18" s="6"/>
      <c r="G18" s="6">
        <f>Projections!N13</f>
        <v>2949.3318094180167</v>
      </c>
      <c r="H18" s="22">
        <f t="shared" si="1"/>
        <v>2216.0006692528027</v>
      </c>
    </row>
    <row r="19" spans="1:8" ht="12">
      <c r="A19">
        <f t="shared" si="3"/>
        <v>2019</v>
      </c>
      <c r="B19" s="6">
        <f>Projections!M14</f>
        <v>-107.31406459717016</v>
      </c>
      <c r="C19" s="22">
        <f t="shared" si="2"/>
        <v>-78.35875408012492</v>
      </c>
      <c r="D19" s="6">
        <f>SUM($C$9:$C19)</f>
        <v>-281.05808482732084</v>
      </c>
      <c r="E19" s="6">
        <f t="shared" si="0"/>
        <v>2137.641915172679</v>
      </c>
      <c r="F19" s="6"/>
      <c r="G19" s="6">
        <f>Projections!N14</f>
        <v>2927.5483672939686</v>
      </c>
      <c r="H19" s="22">
        <f t="shared" si="1"/>
        <v>2137.641915172678</v>
      </c>
    </row>
    <row r="20" spans="1:8" ht="12">
      <c r="A20">
        <f t="shared" si="3"/>
        <v>2020</v>
      </c>
      <c r="B20" s="6">
        <f>Projections!M15</f>
        <v>-124.85057863860004</v>
      </c>
      <c r="C20" s="22">
        <f t="shared" si="2"/>
        <v>-88.59435738314616</v>
      </c>
      <c r="D20" s="6">
        <f>SUM($C$9:$C20)</f>
        <v>-369.65244221046703</v>
      </c>
      <c r="E20" s="6">
        <f t="shared" si="0"/>
        <v>2049.0475577895327</v>
      </c>
      <c r="F20" s="6"/>
      <c r="G20" s="6">
        <f>Projections!N15</f>
        <v>2887.5966913068933</v>
      </c>
      <c r="H20" s="22">
        <f t="shared" si="1"/>
        <v>2049.0475577895318</v>
      </c>
    </row>
    <row r="21" spans="1:8" ht="12">
      <c r="A21">
        <f t="shared" si="3"/>
        <v>2021</v>
      </c>
      <c r="B21" s="6">
        <f>Projections!M16</f>
        <v>-142.85753606111314</v>
      </c>
      <c r="C21" s="22">
        <f t="shared" si="2"/>
        <v>-98.51520909121966</v>
      </c>
      <c r="D21" s="6">
        <f>SUM($C$9:$C21)</f>
        <v>-468.1676513016867</v>
      </c>
      <c r="E21" s="6">
        <f t="shared" si="0"/>
        <v>1950.5323486983132</v>
      </c>
      <c r="F21" s="6"/>
      <c r="G21" s="6">
        <f>Projections!N16</f>
        <v>2828.47945929368</v>
      </c>
      <c r="H21" s="22">
        <f t="shared" si="1"/>
        <v>1950.532348698312</v>
      </c>
    </row>
    <row r="22" spans="1:8" ht="12">
      <c r="A22">
        <f t="shared" si="3"/>
        <v>2022</v>
      </c>
      <c r="B22" s="6">
        <f>Projections!M17</f>
        <v>-161.47819161283212</v>
      </c>
      <c r="C22" s="22">
        <f t="shared" si="2"/>
        <v>-108.21778248129438</v>
      </c>
      <c r="D22" s="6">
        <f>SUM($C$9:$C22)</f>
        <v>-576.3854337829811</v>
      </c>
      <c r="E22" s="6">
        <f t="shared" si="0"/>
        <v>1842.3145662170186</v>
      </c>
      <c r="F22" s="6"/>
      <c r="G22" s="6">
        <f>Projections!N17</f>
        <v>2749.0271720003643</v>
      </c>
      <c r="H22" s="22">
        <f t="shared" si="1"/>
        <v>1842.3145662170175</v>
      </c>
    </row>
    <row r="23" spans="1:8" ht="12">
      <c r="A23">
        <f t="shared" si="3"/>
        <v>2023</v>
      </c>
      <c r="B23" s="6">
        <f>Projections!M18</f>
        <v>-180.73188838327985</v>
      </c>
      <c r="C23" s="22">
        <f t="shared" si="2"/>
        <v>-117.70750789769376</v>
      </c>
      <c r="D23" s="6">
        <f>SUM($C$9:$C23)</f>
        <v>-694.0929416806748</v>
      </c>
      <c r="E23" s="6">
        <f t="shared" si="0"/>
        <v>1724.607058319325</v>
      </c>
      <c r="F23" s="6"/>
      <c r="G23" s="6">
        <f>Projections!N18</f>
        <v>2648.0170716050948</v>
      </c>
      <c r="H23" s="22">
        <f t="shared" si="1"/>
        <v>1724.6070583193236</v>
      </c>
    </row>
    <row r="24" spans="1:8" ht="12">
      <c r="A24">
        <f t="shared" si="3"/>
        <v>2024</v>
      </c>
      <c r="B24" s="6">
        <f>Projections!M19</f>
        <v>-200.63857385915344</v>
      </c>
      <c r="C24" s="22">
        <f t="shared" si="2"/>
        <v>-126.989682097313</v>
      </c>
      <c r="D24" s="6">
        <f>SUM($C$9:$C24)</f>
        <v>-821.0826237779878</v>
      </c>
      <c r="E24" s="6">
        <f t="shared" si="0"/>
        <v>1597.617376222012</v>
      </c>
      <c r="F24" s="6"/>
      <c r="G24" s="6">
        <f>Projections!N19</f>
        <v>2524.1709928224886</v>
      </c>
      <c r="H24" s="22">
        <f t="shared" si="1"/>
        <v>1597.6173762220103</v>
      </c>
    </row>
    <row r="25" spans="1:8" ht="12">
      <c r="A25">
        <f t="shared" si="3"/>
        <v>2025</v>
      </c>
      <c r="B25" s="6">
        <f>Projections!M20</f>
        <v>-221.2188187902717</v>
      </c>
      <c r="C25" s="22">
        <f t="shared" si="2"/>
        <v>-136.06947153910082</v>
      </c>
      <c r="D25" s="6">
        <f>SUM($C$9:$C25)</f>
        <v>-957.1520953170887</v>
      </c>
      <c r="E25" s="6">
        <f t="shared" si="0"/>
        <v>1461.5479046829112</v>
      </c>
      <c r="F25" s="6"/>
      <c r="G25" s="6">
        <f>Projections!N20</f>
        <v>2376.153132824069</v>
      </c>
      <c r="H25" s="22">
        <f t="shared" si="1"/>
        <v>1461.5479046829096</v>
      </c>
    </row>
    <row r="26" spans="1:8" ht="12">
      <c r="A26">
        <f t="shared" si="3"/>
        <v>2026</v>
      </c>
      <c r="B26" s="6">
        <f>Projections!M21</f>
        <v>-236.905912142876</v>
      </c>
      <c r="C26" s="22">
        <f t="shared" si="2"/>
        <v>-141.61170549944634</v>
      </c>
      <c r="D26" s="6">
        <f>SUM($C$9:$C26)</f>
        <v>-1098.763800816535</v>
      </c>
      <c r="E26" s="6">
        <f t="shared" si="0"/>
        <v>1319.9361991834649</v>
      </c>
      <c r="F26" s="6"/>
      <c r="G26" s="6">
        <f>Projections!N21</f>
        <v>2208.155661533091</v>
      </c>
      <c r="H26" s="22">
        <f t="shared" si="1"/>
        <v>1319.9361991834633</v>
      </c>
    </row>
    <row r="27" spans="1:8" ht="12">
      <c r="A27">
        <f t="shared" si="3"/>
        <v>2027</v>
      </c>
      <c r="B27" s="6">
        <f>Projections!M22</f>
        <v>-253.02376446362098</v>
      </c>
      <c r="C27" s="22">
        <f t="shared" si="2"/>
        <v>-146.9837056646564</v>
      </c>
      <c r="D27" s="6">
        <f>SUM($C$9:$C27)</f>
        <v>-1245.7475064811913</v>
      </c>
      <c r="E27" s="6">
        <f t="shared" si="0"/>
        <v>1172.9524935188085</v>
      </c>
      <c r="F27" s="6"/>
      <c r="G27" s="6">
        <f>Projections!N22</f>
        <v>2019.1684112539297</v>
      </c>
      <c r="H27" s="22">
        <f t="shared" si="1"/>
        <v>1172.952493518807</v>
      </c>
    </row>
    <row r="28" spans="1:8" ht="12">
      <c r="A28">
        <f t="shared" si="3"/>
        <v>2028</v>
      </c>
      <c r="B28" s="6">
        <f>Projections!M23</f>
        <v>-269.5831088793992</v>
      </c>
      <c r="C28" s="22">
        <f t="shared" si="2"/>
        <v>-152.18967237575885</v>
      </c>
      <c r="D28" s="6">
        <f>SUM($C$9:$C28)</f>
        <v>-1397.9371788569501</v>
      </c>
      <c r="E28" s="6">
        <f t="shared" si="0"/>
        <v>1020.7628211430497</v>
      </c>
      <c r="F28" s="6"/>
      <c r="G28" s="6">
        <f>Projections!N23</f>
        <v>1808.1411863008943</v>
      </c>
      <c r="H28" s="22">
        <f t="shared" si="1"/>
        <v>1020.7628211430481</v>
      </c>
    </row>
    <row r="29" spans="1:8" ht="12">
      <c r="A29">
        <f t="shared" si="3"/>
        <v>2029</v>
      </c>
      <c r="B29" s="6">
        <f>Projections!M24</f>
        <v>-286.5949414072393</v>
      </c>
      <c r="C29" s="22">
        <f t="shared" si="2"/>
        <v>-157.23370587732177</v>
      </c>
      <c r="D29" s="6">
        <f>SUM($C$9:$C29)</f>
        <v>-1555.170884734272</v>
      </c>
      <c r="E29" s="6">
        <f t="shared" si="0"/>
        <v>863.5291152657278</v>
      </c>
      <c r="F29" s="6"/>
      <c r="G29" s="6">
        <f>Projections!N24</f>
        <v>1573.9823392963808</v>
      </c>
      <c r="H29" s="22">
        <f t="shared" si="1"/>
        <v>863.5291152657263</v>
      </c>
    </row>
    <row r="30" spans="1:8" ht="12">
      <c r="A30">
        <f t="shared" si="3"/>
        <v>2030</v>
      </c>
      <c r="B30" s="6">
        <f>Projections!M25</f>
        <v>-304.0705273725803</v>
      </c>
      <c r="C30" s="22">
        <f t="shared" si="2"/>
        <v>-162.11980868761816</v>
      </c>
      <c r="D30" s="6">
        <f>SUM($C$9:$C30)</f>
        <v>-1717.2906934218902</v>
      </c>
      <c r="E30" s="6">
        <f t="shared" si="0"/>
        <v>701.4093065781096</v>
      </c>
      <c r="F30" s="6"/>
      <c r="G30" s="6">
        <f>Projections!N25</f>
        <v>1315.5572997633953</v>
      </c>
      <c r="H30" s="22">
        <f t="shared" si="1"/>
        <v>701.4093065781082</v>
      </c>
    </row>
    <row r="31" spans="1:8" ht="12">
      <c r="A31">
        <f t="shared" si="3"/>
        <v>2031</v>
      </c>
      <c r="B31" s="6">
        <f>Projections!M26</f>
        <v>-312.5965731264205</v>
      </c>
      <c r="C31" s="22">
        <f t="shared" si="2"/>
        <v>-161.96851230388472</v>
      </c>
      <c r="D31" s="6">
        <f>SUM($C$9:$C31)</f>
        <v>-1879.2592057257748</v>
      </c>
      <c r="E31" s="6">
        <f t="shared" si="0"/>
        <v>539.440794274225</v>
      </c>
      <c r="F31" s="6"/>
      <c r="G31" s="6">
        <f>Projections!N26</f>
        <v>1041.1118883301133</v>
      </c>
      <c r="H31" s="22">
        <f t="shared" si="1"/>
        <v>539.4407942742233</v>
      </c>
    </row>
    <row r="32" spans="1:8" ht="12">
      <c r="A32">
        <f t="shared" si="3"/>
        <v>2032</v>
      </c>
      <c r="B32" s="6">
        <f>Projections!M27</f>
        <v>-321.2765714972527</v>
      </c>
      <c r="C32" s="22">
        <f t="shared" si="2"/>
        <v>-161.77449853574376</v>
      </c>
      <c r="D32" s="6">
        <f>SUM($C$9:$C32)</f>
        <v>-2041.0337042615186</v>
      </c>
      <c r="E32" s="6">
        <f t="shared" si="0"/>
        <v>377.66629573848127</v>
      </c>
      <c r="F32" s="6"/>
      <c r="G32" s="6">
        <f>Projections!N27</f>
        <v>750.0275615944338</v>
      </c>
      <c r="H32" s="22">
        <f t="shared" si="1"/>
        <v>377.6662957384795</v>
      </c>
    </row>
    <row r="33" spans="1:8" ht="12">
      <c r="A33">
        <f t="shared" si="3"/>
        <v>2033</v>
      </c>
      <c r="B33" s="6">
        <f>Projections!M28</f>
        <v>-330.1129867786685</v>
      </c>
      <c r="C33" s="22">
        <f t="shared" si="2"/>
        <v>-161.53931648148597</v>
      </c>
      <c r="D33" s="6">
        <f>SUM($C$9:$C33)</f>
        <v>-2202.5730207430047</v>
      </c>
      <c r="E33" s="6">
        <f t="shared" si="0"/>
        <v>216.12697925699513</v>
      </c>
      <c r="F33" s="6"/>
      <c r="G33" s="6">
        <f>Projections!N28</f>
        <v>441.66537410200374</v>
      </c>
      <c r="H33" s="22">
        <f t="shared" si="1"/>
        <v>216.12697925699354</v>
      </c>
    </row>
    <row r="34" spans="1:8" ht="12">
      <c r="A34">
        <f t="shared" si="3"/>
        <v>2034</v>
      </c>
      <c r="B34" s="6">
        <f>Projections!M29</f>
        <v>-339.10832089272105</v>
      </c>
      <c r="C34" s="22">
        <f t="shared" si="2"/>
        <v>-161.26447334861695</v>
      </c>
      <c r="D34" s="6">
        <f>SUM($C$9:$C34)</f>
        <v>-2363.8374940916215</v>
      </c>
      <c r="E34" s="6">
        <f t="shared" si="0"/>
        <v>54.86250590837835</v>
      </c>
      <c r="F34" s="6"/>
      <c r="G34" s="6">
        <f>Projections!N29</f>
        <v>115.36534905824078</v>
      </c>
      <c r="H34" s="22">
        <f t="shared" si="1"/>
        <v>54.862505908376555</v>
      </c>
    </row>
    <row r="35" spans="1:8" ht="12">
      <c r="A35">
        <f t="shared" si="3"/>
        <v>2035</v>
      </c>
      <c r="B35" s="6">
        <f>Projections!M30</f>
        <v>-348.2651139526922</v>
      </c>
      <c r="C35" s="22">
        <f t="shared" si="2"/>
        <v>-160.95143546992696</v>
      </c>
      <c r="D35" s="6">
        <f>SUM($C$9:$C35)</f>
        <v>-2524.7889295615482</v>
      </c>
      <c r="E35" s="6">
        <f t="shared" si="0"/>
        <v>-106.08892956154841</v>
      </c>
      <c r="F35" s="6"/>
      <c r="G35" s="6">
        <f>Projections!N30</f>
        <v>-229.55416977176247</v>
      </c>
      <c r="H35" s="22">
        <f t="shared" si="1"/>
        <v>-106.0889295615504</v>
      </c>
    </row>
    <row r="36" spans="1:8" ht="12">
      <c r="A36">
        <f t="shared" si="3"/>
        <v>2036</v>
      </c>
      <c r="B36" s="6">
        <f>Projections!M31</f>
        <v>-352.18828741569166</v>
      </c>
      <c r="C36" s="22">
        <f t="shared" si="2"/>
        <v>-158.177393701038</v>
      </c>
      <c r="D36" s="6">
        <f>SUM($C$9:$C36)</f>
        <v>-2682.9663232625862</v>
      </c>
      <c r="E36" s="6">
        <f t="shared" si="0"/>
        <v>-264.2663232625864</v>
      </c>
      <c r="F36" s="6"/>
      <c r="G36" s="6">
        <f>Projections!N31</f>
        <v>-588.3995281108353</v>
      </c>
      <c r="H36" s="22">
        <f t="shared" si="1"/>
        <v>-264.2663232625884</v>
      </c>
    </row>
    <row r="37" spans="1:8" ht="12">
      <c r="A37">
        <f t="shared" si="3"/>
        <v>2037</v>
      </c>
      <c r="B37" s="6">
        <f>Projections!M32</f>
        <v>-356.1535817564097</v>
      </c>
      <c r="C37" s="22">
        <f t="shared" si="2"/>
        <v>-155.45025836427513</v>
      </c>
      <c r="D37" s="6">
        <f>SUM($C$9:$C37)</f>
        <v>-2838.4165816268614</v>
      </c>
      <c r="E37" s="6">
        <f t="shared" si="0"/>
        <v>-419.7165816268616</v>
      </c>
      <c r="F37" s="6"/>
      <c r="G37" s="6">
        <f>Projections!N32</f>
        <v>-961.6166961824591</v>
      </c>
      <c r="H37" s="22">
        <f t="shared" si="1"/>
        <v>-419.7165816268635</v>
      </c>
    </row>
    <row r="38" spans="1:8" ht="12">
      <c r="A38">
        <f t="shared" si="3"/>
        <v>2038</v>
      </c>
      <c r="B38" s="6">
        <f>Projections!M33</f>
        <v>-360.16143517196497</v>
      </c>
      <c r="C38" s="22">
        <f t="shared" si="2"/>
        <v>-152.76925662806627</v>
      </c>
      <c r="D38" s="6">
        <f>SUM($C$9:$C38)</f>
        <v>-2991.1858382549276</v>
      </c>
      <c r="E38" s="6">
        <f t="shared" si="0"/>
        <v>-572.4858382549278</v>
      </c>
      <c r="F38" s="6"/>
      <c r="G38" s="6">
        <f>Projections!N33</f>
        <v>-1349.6650155437153</v>
      </c>
      <c r="H38" s="22">
        <f t="shared" si="1"/>
        <v>-572.4858382549297</v>
      </c>
    </row>
    <row r="39" spans="1:8" ht="12">
      <c r="A39">
        <f t="shared" si="3"/>
        <v>2039</v>
      </c>
      <c r="B39" s="6">
        <f>Projections!M34</f>
        <v>-364.2122903185565</v>
      </c>
      <c r="C39" s="22">
        <f t="shared" si="2"/>
        <v>-150.13362792931542</v>
      </c>
      <c r="D39" s="6">
        <f>SUM($C$9:$C39)</f>
        <v>-3141.319466184243</v>
      </c>
      <c r="E39" s="6">
        <f t="shared" si="0"/>
        <v>-722.6194661842433</v>
      </c>
      <c r="F39" s="6"/>
      <c r="G39" s="6">
        <f>Projections!N34</f>
        <v>-1753.0175913130392</v>
      </c>
      <c r="H39" s="22">
        <f t="shared" si="1"/>
        <v>-722.6194661842451</v>
      </c>
    </row>
    <row r="40" spans="1:8" ht="12">
      <c r="A40">
        <f t="shared" si="3"/>
        <v>2040</v>
      </c>
      <c r="B40" s="6">
        <f>Projections!M35</f>
        <v>-368.3065943561112</v>
      </c>
      <c r="C40" s="22">
        <f t="shared" si="2"/>
        <v>-147.54262378955676</v>
      </c>
      <c r="D40" s="6">
        <f>SUM($C$9:$C40)</f>
        <v>-3288.8620899738</v>
      </c>
      <c r="E40" s="6">
        <f t="shared" si="0"/>
        <v>-870.1620899738</v>
      </c>
      <c r="F40" s="6"/>
      <c r="G40" s="6">
        <f>Projections!N35</f>
        <v>-2172.1616958172285</v>
      </c>
      <c r="H40" s="22">
        <f t="shared" si="1"/>
        <v>-870.1620899738019</v>
      </c>
    </row>
    <row r="41" spans="1:8" ht="12">
      <c r="A41">
        <f t="shared" si="3"/>
        <v>2041</v>
      </c>
      <c r="B41" s="6">
        <f>Projections!M36</f>
        <v>-370.99806036335053</v>
      </c>
      <c r="C41" s="22">
        <f t="shared" si="2"/>
        <v>-144.43228161288195</v>
      </c>
      <c r="D41" s="6">
        <f>SUM($C$9:$C41)</f>
        <v>-3433.294371586682</v>
      </c>
      <c r="E41" s="6">
        <f t="shared" si="0"/>
        <v>-1014.594371586682</v>
      </c>
      <c r="F41" s="6"/>
      <c r="G41" s="6">
        <f>Projections!N36</f>
        <v>-2606.1524453592783</v>
      </c>
      <c r="H41" s="22">
        <f t="shared" si="1"/>
        <v>-1014.5943715866838</v>
      </c>
    </row>
    <row r="42" spans="1:8" ht="12">
      <c r="A42">
        <f t="shared" si="3"/>
        <v>2042</v>
      </c>
      <c r="B42" s="6">
        <f>Projections!M37</f>
        <v>-373.70904852618867</v>
      </c>
      <c r="C42" s="22">
        <f t="shared" si="2"/>
        <v>-141.38745316094935</v>
      </c>
      <c r="D42" s="6">
        <f>SUM($C$9:$C42)</f>
        <v>-3574.6818247476313</v>
      </c>
      <c r="E42" s="6">
        <f t="shared" si="0"/>
        <v>-1155.9818247476314</v>
      </c>
      <c r="F42" s="6"/>
      <c r="G42" s="6">
        <f>Projections!N37</f>
        <v>-3055.439914800886</v>
      </c>
      <c r="H42" s="22">
        <f t="shared" si="1"/>
        <v>-1155.981824747633</v>
      </c>
    </row>
    <row r="43" spans="1:8" ht="12">
      <c r="A43">
        <f t="shared" si="3"/>
        <v>2043</v>
      </c>
      <c r="B43" s="6">
        <f>Projections!M38</f>
        <v>-376.4396991794192</v>
      </c>
      <c r="C43" s="22">
        <f t="shared" si="2"/>
        <v>-138.4067596030985</v>
      </c>
      <c r="D43" s="6">
        <f>SUM($C$9:$C43)</f>
        <v>-3713.08858435073</v>
      </c>
      <c r="E43" s="6">
        <f t="shared" si="0"/>
        <v>-1294.38858435073</v>
      </c>
      <c r="F43" s="6"/>
      <c r="G43" s="6">
        <f>Projections!N38</f>
        <v>-3520.487371509531</v>
      </c>
      <c r="H43" s="22">
        <f t="shared" si="1"/>
        <v>-1294.3885843507317</v>
      </c>
    </row>
    <row r="44" spans="1:8" ht="12">
      <c r="A44">
        <f t="shared" si="3"/>
        <v>2044</v>
      </c>
      <c r="B44" s="6">
        <f>Projections!M39</f>
        <v>-379.1901536555823</v>
      </c>
      <c r="C44" s="22">
        <f t="shared" si="2"/>
        <v>-135.48885110636058</v>
      </c>
      <c r="D44" s="6">
        <f>SUM($C$9:$C44)</f>
        <v>-3848.5774354570904</v>
      </c>
      <c r="E44" s="6">
        <f t="shared" si="0"/>
        <v>-1429.8774354570905</v>
      </c>
      <c r="F44" s="6"/>
      <c r="G44" s="6">
        <f>Projections!N39</f>
        <v>-4001.7716589388897</v>
      </c>
      <c r="H44" s="22">
        <f t="shared" si="1"/>
        <v>-1429.8774354570921</v>
      </c>
    </row>
    <row r="45" spans="1:8" ht="12">
      <c r="A45">
        <f t="shared" si="3"/>
        <v>2045</v>
      </c>
      <c r="B45" s="6">
        <f>Projections!M40</f>
        <v>-381.9605542919609</v>
      </c>
      <c r="C45" s="22">
        <f t="shared" si="2"/>
        <v>-132.6324062260514</v>
      </c>
      <c r="D45" s="6">
        <f>SUM($C$9:$C45)</f>
        <v>-3981.209841683142</v>
      </c>
      <c r="E45" s="6">
        <f t="shared" si="0"/>
        <v>-1562.509841683142</v>
      </c>
      <c r="F45" s="6"/>
      <c r="G45" s="6">
        <f>Projections!N40</f>
        <v>-4499.783591340078</v>
      </c>
      <c r="H45" s="22">
        <f t="shared" si="1"/>
        <v>-1562.5098416831436</v>
      </c>
    </row>
    <row r="46" spans="1:8" ht="12">
      <c r="A46">
        <f t="shared" si="3"/>
        <v>2046</v>
      </c>
      <c r="B46" s="6">
        <f>Projections!M41</f>
        <v>-386.8798379392632</v>
      </c>
      <c r="C46" s="22">
        <f t="shared" si="2"/>
        <v>-130.5545031410381</v>
      </c>
      <c r="D46" s="6">
        <f>SUM($C$9:$C46)</f>
        <v>-4111.76434482418</v>
      </c>
      <c r="E46" s="6">
        <f t="shared" si="0"/>
        <v>-1693.06434482418</v>
      </c>
      <c r="F46" s="6"/>
      <c r="G46" s="6">
        <f>Projections!N41</f>
        <v>-5017.157153428202</v>
      </c>
      <c r="H46" s="22">
        <f t="shared" si="1"/>
        <v>-1693.0643448241813</v>
      </c>
    </row>
    <row r="47" spans="1:8" ht="12">
      <c r="A47">
        <f t="shared" si="3"/>
        <v>2047</v>
      </c>
      <c r="B47" s="6">
        <f>Projections!M42</f>
        <v>-391.85536190489154</v>
      </c>
      <c r="C47" s="22">
        <f t="shared" si="2"/>
        <v>-128.50682037121314</v>
      </c>
      <c r="D47" s="6">
        <f>SUM($C$9:$C47)</f>
        <v>-4240.271165195393</v>
      </c>
      <c r="E47" s="6">
        <f t="shared" si="0"/>
        <v>-1821.5711651953934</v>
      </c>
      <c r="F47" s="6"/>
      <c r="G47" s="6">
        <f>Projections!N42</f>
        <v>-5554.510072782511</v>
      </c>
      <c r="H47" s="22">
        <f t="shared" si="1"/>
        <v>-1821.5711651953943</v>
      </c>
    </row>
    <row r="48" spans="1:8" ht="12">
      <c r="A48">
        <f t="shared" si="3"/>
        <v>2048</v>
      </c>
      <c r="B48" s="6">
        <f>Projections!M43</f>
        <v>-396.88773052692943</v>
      </c>
      <c r="C48" s="22">
        <f t="shared" si="2"/>
        <v>-126.4889777517697</v>
      </c>
      <c r="D48" s="6">
        <f>SUM($C$9:$C48)</f>
        <v>-4366.760142947163</v>
      </c>
      <c r="E48" s="6">
        <f t="shared" si="0"/>
        <v>-1948.0601429471635</v>
      </c>
      <c r="F48" s="6"/>
      <c r="G48" s="6">
        <f>Projections!N43</f>
        <v>-6112.478595420133</v>
      </c>
      <c r="H48" s="22">
        <f t="shared" si="1"/>
        <v>-1948.0601429471642</v>
      </c>
    </row>
    <row r="49" spans="1:8" ht="12">
      <c r="A49">
        <f t="shared" si="3"/>
        <v>2049</v>
      </c>
      <c r="B49" s="6">
        <f>Projections!M44</f>
        <v>-401.9775544011187</v>
      </c>
      <c r="C49" s="22">
        <f t="shared" si="2"/>
        <v>-124.50059827422754</v>
      </c>
      <c r="D49" s="6">
        <f>SUM($C$9:$C49)</f>
        <v>-4491.260741221391</v>
      </c>
      <c r="E49" s="6">
        <f t="shared" si="0"/>
        <v>-2072.5607412213913</v>
      </c>
      <c r="F49" s="6"/>
      <c r="G49" s="6">
        <f>Projections!N44</f>
        <v>-6691.718029088436</v>
      </c>
      <c r="H49" s="22">
        <f t="shared" si="1"/>
        <v>-2072.560741221392</v>
      </c>
    </row>
    <row r="50" spans="1:8" ht="12">
      <c r="A50">
        <f>A49+1</f>
        <v>2050</v>
      </c>
      <c r="B50" s="6">
        <f>Projections!M45</f>
        <v>-407.12545044412</v>
      </c>
      <c r="C50" s="22">
        <f t="shared" si="2"/>
        <v>-122.54130811173475</v>
      </c>
      <c r="D50" s="6">
        <f>SUM($C$9:$C50)</f>
        <v>-4613.802049333126</v>
      </c>
      <c r="E50" s="6">
        <f t="shared" si="0"/>
        <v>-2195.102049333126</v>
      </c>
      <c r="F50" s="6"/>
      <c r="G50" s="6">
        <f>Projections!N45</f>
        <v>-7292.90330237612</v>
      </c>
      <c r="H50" s="22">
        <f t="shared" si="1"/>
        <v>-2195.102049333126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ySplit="2" topLeftCell="BM3" activePane="bottomLeft" state="frozen"/>
      <selection pane="topLeft" activeCell="A1" sqref="A1"/>
      <selection pane="bottomLeft" activeCell="G8" sqref="G8:G11"/>
    </sheetView>
  </sheetViews>
  <sheetFormatPr defaultColWidth="11.421875" defaultRowHeight="12" customHeight="1"/>
  <cols>
    <col min="1" max="1" width="4.8515625" style="0" customWidth="1"/>
    <col min="2" max="2" width="11.7109375" style="6" customWidth="1"/>
    <col min="3" max="3" width="11.7109375" style="0" customWidth="1"/>
    <col min="4" max="4" width="11.7109375" style="6" customWidth="1"/>
    <col min="5" max="5" width="4.28125" style="0" customWidth="1"/>
    <col min="6" max="8" width="11.7109375" style="0" customWidth="1"/>
    <col min="9" max="9" width="8.8515625" style="0" customWidth="1"/>
    <col min="10" max="16384" width="11.7109375" style="0" customWidth="1"/>
  </cols>
  <sheetData>
    <row r="1" spans="3:7" ht="12" customHeight="1">
      <c r="C1" t="s">
        <v>42</v>
      </c>
      <c r="D1" s="6" t="s">
        <v>37</v>
      </c>
      <c r="F1" s="29">
        <f>return</f>
        <v>0.029</v>
      </c>
      <c r="G1" t="s">
        <v>21</v>
      </c>
    </row>
    <row r="2" spans="1:7" ht="12" customHeight="1">
      <c r="A2" t="s">
        <v>39</v>
      </c>
      <c r="B2" s="6" t="s">
        <v>32</v>
      </c>
      <c r="C2" t="s">
        <v>32</v>
      </c>
      <c r="D2" s="6" t="s">
        <v>20</v>
      </c>
      <c r="F2" s="6">
        <f>average_benefits</f>
        <v>12088.408644400786</v>
      </c>
      <c r="G2" t="s">
        <v>25</v>
      </c>
    </row>
    <row r="3" spans="1:7" ht="12" customHeight="1">
      <c r="A3">
        <v>17</v>
      </c>
      <c r="B3" s="28"/>
      <c r="C3" s="28">
        <f aca="true" t="shared" si="0" ref="C3:C66">(C4+B4)/(1+growth)</f>
        <v>58136.376722932946</v>
      </c>
      <c r="F3" s="5">
        <f>taxrate</f>
        <v>0.124</v>
      </c>
      <c r="G3" t="s">
        <v>17</v>
      </c>
    </row>
    <row r="4" spans="1:7" ht="12" customHeight="1">
      <c r="A4">
        <v>18</v>
      </c>
      <c r="B4" s="28">
        <f aca="true" t="shared" si="1" ref="B4:B50">average_earnings*taxrate</f>
        <v>4139.311449159328</v>
      </c>
      <c r="C4" s="28">
        <f t="shared" si="0"/>
        <v>55683.02019873867</v>
      </c>
      <c r="D4" s="28">
        <f>cash</f>
        <v>4139.311449159328</v>
      </c>
      <c r="F4" s="24">
        <f>average_earnings</f>
        <v>33381.54394483329</v>
      </c>
      <c r="G4" t="s">
        <v>18</v>
      </c>
    </row>
    <row r="5" spans="1:7" ht="12" customHeight="1">
      <c r="A5">
        <f aca="true" t="shared" si="2" ref="A5:A36">A4+1</f>
        <v>19</v>
      </c>
      <c r="B5" s="28">
        <f t="shared" si="1"/>
        <v>4139.311449159328</v>
      </c>
      <c r="C5" s="28">
        <f t="shared" si="0"/>
        <v>53158.516335342756</v>
      </c>
      <c r="D5" s="6">
        <f>D4*(1+growth)+cash</f>
        <v>8398.662930344275</v>
      </c>
      <c r="F5">
        <v>65</v>
      </c>
      <c r="G5" t="s">
        <v>40</v>
      </c>
    </row>
    <row r="6" spans="1:7" ht="12" customHeight="1">
      <c r="A6">
        <f t="shared" si="2"/>
        <v>20</v>
      </c>
      <c r="B6" s="28">
        <f t="shared" si="1"/>
        <v>4139.311449159328</v>
      </c>
      <c r="C6" s="28">
        <f t="shared" si="0"/>
        <v>50560.80185990836</v>
      </c>
      <c r="D6" s="6">
        <f aca="true" t="shared" si="3" ref="D6:D65">D5*(1+growth)+cash</f>
        <v>12781.535604483586</v>
      </c>
      <c r="F6">
        <v>20</v>
      </c>
      <c r="G6" t="s">
        <v>41</v>
      </c>
    </row>
    <row r="7" spans="1:4" ht="12" customHeight="1">
      <c r="A7">
        <f t="shared" si="2"/>
        <v>21</v>
      </c>
      <c r="B7" s="28">
        <f t="shared" si="1"/>
        <v>4139.311449159328</v>
      </c>
      <c r="C7" s="28">
        <f t="shared" si="0"/>
        <v>47887.75366468637</v>
      </c>
      <c r="D7" s="6">
        <f t="shared" si="3"/>
        <v>17291.511586172935</v>
      </c>
    </row>
    <row r="8" spans="1:7" ht="12" customHeight="1">
      <c r="A8">
        <f t="shared" si="2"/>
        <v>22</v>
      </c>
      <c r="B8" s="28">
        <f t="shared" si="1"/>
        <v>4139.311449159328</v>
      </c>
      <c r="C8" s="28">
        <f t="shared" si="0"/>
        <v>45137.18707180294</v>
      </c>
      <c r="D8" s="6">
        <f t="shared" si="3"/>
        <v>21932.276871331276</v>
      </c>
      <c r="F8" s="6">
        <f>PV(growth,retirementage-18,-average_earnings*taxrate)</f>
        <v>105495.06442990681</v>
      </c>
      <c r="G8" t="s">
        <v>52</v>
      </c>
    </row>
    <row r="9" spans="1:7" ht="12" customHeight="1">
      <c r="A9">
        <f t="shared" si="2"/>
        <v>23</v>
      </c>
      <c r="B9" s="28">
        <f t="shared" si="1"/>
        <v>4139.311449159328</v>
      </c>
      <c r="C9" s="28">
        <f t="shared" si="0"/>
        <v>42306.85404772589</v>
      </c>
      <c r="D9" s="6">
        <f t="shared" si="3"/>
        <v>26707.624349759208</v>
      </c>
      <c r="F9" s="30">
        <f>PV(growth,nyears,yearlyincome)</f>
        <v>-181519.07658655557</v>
      </c>
      <c r="G9" t="s">
        <v>51</v>
      </c>
    </row>
    <row r="10" spans="1:7" ht="12" customHeight="1">
      <c r="A10">
        <f t="shared" si="2"/>
        <v>24</v>
      </c>
      <c r="B10" s="28">
        <f t="shared" si="1"/>
        <v>4139.311449159328</v>
      </c>
      <c r="C10" s="28">
        <f t="shared" si="0"/>
        <v>39394.4413659506</v>
      </c>
      <c r="D10" s="6">
        <f t="shared" si="3"/>
        <v>31621.456905061554</v>
      </c>
      <c r="F10" s="30">
        <f>F9/((1+growth)^(retirementage-18))</f>
        <v>-47358.6877069739</v>
      </c>
      <c r="G10" t="s">
        <v>53</v>
      </c>
    </row>
    <row r="11" spans="1:7" ht="12" customHeight="1">
      <c r="A11">
        <f t="shared" si="2"/>
        <v>25</v>
      </c>
      <c r="B11" s="28">
        <f t="shared" si="1"/>
        <v>4139.311449159328</v>
      </c>
      <c r="C11" s="28">
        <f t="shared" si="0"/>
        <v>36397.56871640384</v>
      </c>
      <c r="D11" s="6">
        <f t="shared" si="3"/>
        <v>36677.790604467664</v>
      </c>
      <c r="F11" s="6">
        <f>F8+F10</f>
        <v>58136.37672293291</v>
      </c>
      <c r="G11" t="s">
        <v>54</v>
      </c>
    </row>
    <row r="12" spans="1:7" ht="12" customHeight="1">
      <c r="A12">
        <f t="shared" si="2"/>
        <v>26</v>
      </c>
      <c r="B12" s="28">
        <f t="shared" si="1"/>
        <v>4139.311449159328</v>
      </c>
      <c r="C12" s="28">
        <f t="shared" si="0"/>
        <v>33313.786760020215</v>
      </c>
      <c r="D12" s="6">
        <f t="shared" si="3"/>
        <v>41880.75798115655</v>
      </c>
      <c r="F12" s="6">
        <f>npv*((1+growth)^(retirementage-18))</f>
        <v>222828.41712442387</v>
      </c>
      <c r="G12" t="s">
        <v>43</v>
      </c>
    </row>
    <row r="13" spans="1:7" ht="12" customHeight="1">
      <c r="A13">
        <f t="shared" si="2"/>
        <v>27</v>
      </c>
      <c r="B13" s="28">
        <f t="shared" si="1"/>
        <v>4139.311449159328</v>
      </c>
      <c r="C13" s="28">
        <f t="shared" si="0"/>
        <v>30140.575126901473</v>
      </c>
      <c r="D13" s="6">
        <f t="shared" si="3"/>
        <v>47234.611411769416</v>
      </c>
      <c r="F13" s="6">
        <f>npv*((1+growth)^(retirementage+nyears-18))</f>
        <v>394709.94645919197</v>
      </c>
      <c r="G13" t="s">
        <v>44</v>
      </c>
    </row>
    <row r="14" spans="1:4" ht="12" customHeight="1">
      <c r="A14">
        <f t="shared" si="2"/>
        <v>28</v>
      </c>
      <c r="B14" s="28">
        <f t="shared" si="1"/>
        <v>4139.311449159328</v>
      </c>
      <c r="C14" s="28">
        <f t="shared" si="0"/>
        <v>26875.340356422283</v>
      </c>
      <c r="D14" s="6">
        <f t="shared" si="3"/>
        <v>52743.72659187006</v>
      </c>
    </row>
    <row r="15" spans="1:4" ht="12" customHeight="1">
      <c r="A15">
        <f t="shared" si="2"/>
        <v>29</v>
      </c>
      <c r="B15" s="28">
        <f t="shared" si="1"/>
        <v>4139.311449159328</v>
      </c>
      <c r="C15" s="28">
        <f t="shared" si="0"/>
        <v>23515.4137775992</v>
      </c>
      <c r="D15" s="6">
        <f t="shared" si="3"/>
        <v>58412.606112193615</v>
      </c>
    </row>
    <row r="16" spans="1:4" ht="12" customHeight="1">
      <c r="A16">
        <f t="shared" si="2"/>
        <v>30</v>
      </c>
      <c r="B16" s="28">
        <f t="shared" si="1"/>
        <v>4139.311449159328</v>
      </c>
      <c r="C16" s="28">
        <f t="shared" si="0"/>
        <v>20058.049327990244</v>
      </c>
      <c r="D16" s="6">
        <f t="shared" si="3"/>
        <v>64245.88313860656</v>
      </c>
    </row>
    <row r="17" spans="1:4" ht="12" customHeight="1">
      <c r="A17">
        <f t="shared" si="2"/>
        <v>31</v>
      </c>
      <c r="B17" s="28">
        <f t="shared" si="1"/>
        <v>4139.311449159328</v>
      </c>
      <c r="C17" s="28">
        <f t="shared" si="0"/>
        <v>16500.42130934263</v>
      </c>
      <c r="D17" s="6">
        <f t="shared" si="3"/>
        <v>70248.32519878547</v>
      </c>
    </row>
    <row r="18" spans="1:4" ht="12" customHeight="1">
      <c r="A18">
        <f t="shared" si="2"/>
        <v>32</v>
      </c>
      <c r="B18" s="28">
        <f t="shared" si="1"/>
        <v>4139.311449159328</v>
      </c>
      <c r="C18" s="28">
        <f t="shared" si="0"/>
        <v>12839.62207815424</v>
      </c>
      <c r="D18" s="6">
        <f t="shared" si="3"/>
        <v>76424.83807870958</v>
      </c>
    </row>
    <row r="19" spans="1:4" ht="12" customHeight="1">
      <c r="A19">
        <f t="shared" si="2"/>
        <v>33</v>
      </c>
      <c r="B19" s="28">
        <f t="shared" si="1"/>
        <v>4139.311449159328</v>
      </c>
      <c r="C19" s="28">
        <f t="shared" si="0"/>
        <v>9072.659669261384</v>
      </c>
      <c r="D19" s="6">
        <f t="shared" si="3"/>
        <v>82780.46983215149</v>
      </c>
    </row>
    <row r="20" spans="1:4" ht="12" customHeight="1">
      <c r="A20">
        <f t="shared" si="2"/>
        <v>34</v>
      </c>
      <c r="B20" s="28">
        <f t="shared" si="1"/>
        <v>4139.311449159328</v>
      </c>
      <c r="C20" s="28">
        <f t="shared" si="0"/>
        <v>5196.455350510636</v>
      </c>
      <c r="D20" s="6">
        <f t="shared" si="3"/>
        <v>89320.4149064432</v>
      </c>
    </row>
    <row r="21" spans="1:4" ht="12" customHeight="1">
      <c r="A21">
        <f t="shared" si="2"/>
        <v>35</v>
      </c>
      <c r="B21" s="28">
        <f t="shared" si="1"/>
        <v>4139.311449159328</v>
      </c>
      <c r="C21" s="28">
        <f t="shared" si="0"/>
        <v>1207.8411065161158</v>
      </c>
      <c r="D21" s="6">
        <f t="shared" si="3"/>
        <v>96050.01838788937</v>
      </c>
    </row>
    <row r="22" spans="1:4" ht="12" customHeight="1">
      <c r="A22">
        <f t="shared" si="2"/>
        <v>36</v>
      </c>
      <c r="B22" s="28">
        <f t="shared" si="1"/>
        <v>4139.311449159328</v>
      </c>
      <c r="C22" s="28">
        <f t="shared" si="0"/>
        <v>-2896.442950554245</v>
      </c>
      <c r="D22" s="6">
        <f t="shared" si="3"/>
        <v>102974.78037029749</v>
      </c>
    </row>
    <row r="23" spans="1:4" ht="12" customHeight="1">
      <c r="A23">
        <f t="shared" si="2"/>
        <v>37</v>
      </c>
      <c r="B23" s="28">
        <f t="shared" si="1"/>
        <v>4139.311449159328</v>
      </c>
      <c r="C23" s="28">
        <f t="shared" si="0"/>
        <v>-7119.751245279645</v>
      </c>
      <c r="D23" s="6">
        <f t="shared" si="3"/>
        <v>110100.36045019544</v>
      </c>
    </row>
    <row r="24" spans="1:4" ht="12" customHeight="1">
      <c r="A24">
        <f t="shared" si="2"/>
        <v>38</v>
      </c>
      <c r="B24" s="28">
        <f t="shared" si="1"/>
        <v>4139.311449159328</v>
      </c>
      <c r="C24" s="28">
        <f t="shared" si="0"/>
        <v>-11465.535480552082</v>
      </c>
      <c r="D24" s="6">
        <f t="shared" si="3"/>
        <v>117432.58235241043</v>
      </c>
    </row>
    <row r="25" spans="1:4" ht="12" customHeight="1">
      <c r="A25">
        <f t="shared" si="2"/>
        <v>39</v>
      </c>
      <c r="B25" s="28">
        <f t="shared" si="1"/>
        <v>4139.311449159328</v>
      </c>
      <c r="C25" s="28">
        <f t="shared" si="0"/>
        <v>-15937.347458647419</v>
      </c>
      <c r="D25" s="6">
        <f t="shared" si="3"/>
        <v>124977.43868978966</v>
      </c>
    </row>
    <row r="26" spans="1:4" ht="12" customHeight="1">
      <c r="A26">
        <f t="shared" si="2"/>
        <v>40</v>
      </c>
      <c r="B26" s="28">
        <f t="shared" si="1"/>
        <v>4139.311449159328</v>
      </c>
      <c r="C26" s="28">
        <f t="shared" si="0"/>
        <v>-20538.84198410752</v>
      </c>
      <c r="D26" s="6">
        <f t="shared" si="3"/>
        <v>132741.09586095286</v>
      </c>
    </row>
    <row r="27" spans="1:4" ht="12" customHeight="1">
      <c r="A27">
        <f t="shared" si="2"/>
        <v>41</v>
      </c>
      <c r="B27" s="28">
        <f t="shared" si="1"/>
        <v>4139.311449159328</v>
      </c>
      <c r="C27" s="28">
        <f t="shared" si="0"/>
        <v>-25273.779850805964</v>
      </c>
      <c r="D27" s="6">
        <f t="shared" si="3"/>
        <v>140729.8990900798</v>
      </c>
    </row>
    <row r="28" spans="1:4" ht="12" customHeight="1">
      <c r="A28">
        <f t="shared" si="2"/>
        <v>42</v>
      </c>
      <c r="B28" s="28">
        <f t="shared" si="1"/>
        <v>4139.311449159328</v>
      </c>
      <c r="C28" s="28">
        <f t="shared" si="0"/>
        <v>-30146.030915638665</v>
      </c>
      <c r="D28" s="6">
        <f t="shared" si="3"/>
        <v>148950.37761285141</v>
      </c>
    </row>
    <row r="29" spans="1:4" ht="12" customHeight="1">
      <c r="A29">
        <f t="shared" si="2"/>
        <v>43</v>
      </c>
      <c r="B29" s="28">
        <f t="shared" si="1"/>
        <v>4139.311449159328</v>
      </c>
      <c r="C29" s="28">
        <f t="shared" si="0"/>
        <v>-35159.577261351515</v>
      </c>
      <c r="D29" s="6">
        <f t="shared" si="3"/>
        <v>157409.25001278342</v>
      </c>
    </row>
    <row r="30" spans="1:4" ht="12" customHeight="1">
      <c r="A30">
        <f t="shared" si="2"/>
        <v>44</v>
      </c>
      <c r="B30" s="28">
        <f t="shared" si="1"/>
        <v>4139.311449159328</v>
      </c>
      <c r="C30" s="28">
        <f t="shared" si="0"/>
        <v>-40318.516451090036</v>
      </c>
      <c r="D30" s="6">
        <f t="shared" si="3"/>
        <v>166113.42971231343</v>
      </c>
    </row>
    <row r="31" spans="1:4" ht="12" customHeight="1">
      <c r="A31">
        <f t="shared" si="2"/>
        <v>45</v>
      </c>
      <c r="B31" s="28">
        <f t="shared" si="1"/>
        <v>4139.311449159328</v>
      </c>
      <c r="C31" s="28">
        <f t="shared" si="0"/>
        <v>-45627.06487733097</v>
      </c>
      <c r="D31" s="6">
        <f t="shared" si="3"/>
        <v>175070.03062312983</v>
      </c>
    </row>
    <row r="32" spans="1:4" ht="12" customHeight="1">
      <c r="A32">
        <f t="shared" si="2"/>
        <v>46</v>
      </c>
      <c r="B32" s="28">
        <f t="shared" si="1"/>
        <v>4139.311449159328</v>
      </c>
      <c r="C32" s="28">
        <f t="shared" si="0"/>
        <v>-51089.5612079329</v>
      </c>
      <c r="D32" s="6">
        <f t="shared" si="3"/>
        <v>184286.3729603599</v>
      </c>
    </row>
    <row r="33" spans="1:4" ht="12" customHeight="1">
      <c r="A33">
        <f t="shared" si="2"/>
        <v>47</v>
      </c>
      <c r="B33" s="28">
        <f t="shared" si="1"/>
        <v>4139.311449159328</v>
      </c>
      <c r="C33" s="28">
        <f t="shared" si="0"/>
        <v>-56710.46993212228</v>
      </c>
      <c r="D33" s="6">
        <f t="shared" si="3"/>
        <v>193769.98922536965</v>
      </c>
    </row>
    <row r="34" spans="1:4" ht="12" customHeight="1">
      <c r="A34">
        <f t="shared" si="2"/>
        <v>48</v>
      </c>
      <c r="B34" s="28">
        <f t="shared" si="1"/>
        <v>4139.311449159328</v>
      </c>
      <c r="C34" s="28">
        <f t="shared" si="0"/>
        <v>-62494.38500931315</v>
      </c>
      <c r="D34" s="6">
        <f t="shared" si="3"/>
        <v>203528.63036206466</v>
      </c>
    </row>
    <row r="35" spans="1:4" ht="12" customHeight="1">
      <c r="A35">
        <f t="shared" si="2"/>
        <v>49</v>
      </c>
      <c r="B35" s="28">
        <f t="shared" si="1"/>
        <v>4139.311449159328</v>
      </c>
      <c r="C35" s="28">
        <f t="shared" si="0"/>
        <v>-68446.03362374255</v>
      </c>
      <c r="D35" s="6">
        <f t="shared" si="3"/>
        <v>213570.27209172383</v>
      </c>
    </row>
    <row r="36" spans="1:4" ht="12" customHeight="1">
      <c r="A36">
        <f t="shared" si="2"/>
        <v>50</v>
      </c>
      <c r="B36" s="28">
        <f t="shared" si="1"/>
        <v>4139.311449159328</v>
      </c>
      <c r="C36" s="28">
        <f t="shared" si="0"/>
        <v>-74570.28004799041</v>
      </c>
      <c r="D36" s="6">
        <f t="shared" si="3"/>
        <v>223903.1214315431</v>
      </c>
    </row>
    <row r="37" spans="1:4" ht="12" customHeight="1">
      <c r="A37">
        <f aca="true" t="shared" si="4" ref="A37:A70">A36+1</f>
        <v>51</v>
      </c>
      <c r="B37" s="28">
        <f t="shared" si="1"/>
        <v>4139.311449159328</v>
      </c>
      <c r="C37" s="28">
        <f t="shared" si="0"/>
        <v>-80872.12961854145</v>
      </c>
      <c r="D37" s="6">
        <f t="shared" si="3"/>
        <v>234535.62340221717</v>
      </c>
    </row>
    <row r="38" spans="1:4" ht="12" customHeight="1">
      <c r="A38">
        <f t="shared" si="4"/>
        <v>52</v>
      </c>
      <c r="B38" s="28">
        <f t="shared" si="1"/>
        <v>4139.311449159328</v>
      </c>
      <c r="C38" s="28">
        <f t="shared" si="0"/>
        <v>-87356.73282663847</v>
      </c>
      <c r="D38" s="6">
        <f t="shared" si="3"/>
        <v>245476.46793004076</v>
      </c>
    </row>
    <row r="39" spans="1:4" ht="12" customHeight="1">
      <c r="A39">
        <f t="shared" si="4"/>
        <v>53</v>
      </c>
      <c r="B39" s="28">
        <f t="shared" si="1"/>
        <v>4139.311449159328</v>
      </c>
      <c r="C39" s="28">
        <f t="shared" si="0"/>
        <v>-94029.38952777031</v>
      </c>
      <c r="D39" s="6">
        <f t="shared" si="3"/>
        <v>256734.59694917125</v>
      </c>
    </row>
    <row r="40" spans="1:4" ht="12" customHeight="1">
      <c r="A40">
        <f t="shared" si="4"/>
        <v>54</v>
      </c>
      <c r="B40" s="28">
        <f t="shared" si="1"/>
        <v>4139.311449159328</v>
      </c>
      <c r="C40" s="28">
        <f t="shared" si="0"/>
        <v>-100895.55327323497</v>
      </c>
      <c r="D40" s="6">
        <f t="shared" si="3"/>
        <v>268319.2117098565</v>
      </c>
    </row>
    <row r="41" spans="1:4" ht="12" customHeight="1">
      <c r="A41">
        <f t="shared" si="4"/>
        <v>55</v>
      </c>
      <c r="B41" s="28">
        <f t="shared" si="1"/>
        <v>4139.311449159328</v>
      </c>
      <c r="C41" s="28">
        <f t="shared" si="0"/>
        <v>-107960.8357673181</v>
      </c>
      <c r="D41" s="6">
        <f t="shared" si="3"/>
        <v>280239.78029860166</v>
      </c>
    </row>
    <row r="42" spans="1:4" ht="12" customHeight="1">
      <c r="A42">
        <f t="shared" si="4"/>
        <v>56</v>
      </c>
      <c r="B42" s="28">
        <f t="shared" si="1"/>
        <v>4139.311449159328</v>
      </c>
      <c r="C42" s="28">
        <f t="shared" si="0"/>
        <v>-115231.01145372965</v>
      </c>
      <c r="D42" s="6">
        <f t="shared" si="3"/>
        <v>292506.0453764204</v>
      </c>
    </row>
    <row r="43" spans="1:4" ht="12" customHeight="1">
      <c r="A43">
        <f t="shared" si="4"/>
        <v>57</v>
      </c>
      <c r="B43" s="28">
        <f t="shared" si="1"/>
        <v>4139.311449159328</v>
      </c>
      <c r="C43" s="28">
        <f t="shared" si="0"/>
        <v>-122712.02223504713</v>
      </c>
      <c r="D43" s="6">
        <f t="shared" si="3"/>
        <v>305128.03214149596</v>
      </c>
    </row>
    <row r="44" spans="1:4" ht="12" customHeight="1">
      <c r="A44">
        <f t="shared" si="4"/>
        <v>58</v>
      </c>
      <c r="B44" s="28">
        <f t="shared" si="1"/>
        <v>4139.311449159328</v>
      </c>
      <c r="C44" s="28">
        <f t="shared" si="0"/>
        <v>-130409.98232902282</v>
      </c>
      <c r="D44" s="6">
        <f t="shared" si="3"/>
        <v>318116.0565227587</v>
      </c>
    </row>
    <row r="45" spans="1:4" ht="12" customHeight="1">
      <c r="A45">
        <f t="shared" si="4"/>
        <v>59</v>
      </c>
      <c r="B45" s="28">
        <f t="shared" si="1"/>
        <v>4139.311449159328</v>
      </c>
      <c r="C45" s="28">
        <f t="shared" si="0"/>
        <v>-138331.18326572378</v>
      </c>
      <c r="D45" s="6">
        <f t="shared" si="3"/>
        <v>331480.733611078</v>
      </c>
    </row>
    <row r="46" spans="1:4" ht="12" customHeight="1">
      <c r="A46">
        <f t="shared" si="4"/>
        <v>60</v>
      </c>
      <c r="B46" s="28">
        <f t="shared" si="1"/>
        <v>4139.311449159328</v>
      </c>
      <c r="C46" s="28">
        <f t="shared" si="0"/>
        <v>-146482.09902958907</v>
      </c>
      <c r="D46" s="6">
        <f t="shared" si="3"/>
        <v>345232.9863349586</v>
      </c>
    </row>
    <row r="47" spans="1:4" ht="12" customHeight="1">
      <c r="A47">
        <f t="shared" si="4"/>
        <v>61</v>
      </c>
      <c r="B47" s="28">
        <f t="shared" si="1"/>
        <v>4139.311449159328</v>
      </c>
      <c r="C47" s="28">
        <f t="shared" si="0"/>
        <v>-154869.39135060646</v>
      </c>
      <c r="D47" s="6">
        <f t="shared" si="3"/>
        <v>359384.0543878317</v>
      </c>
    </row>
    <row r="48" spans="1:4" ht="12" customHeight="1">
      <c r="A48">
        <f t="shared" si="4"/>
        <v>62</v>
      </c>
      <c r="B48" s="28">
        <f t="shared" si="1"/>
        <v>4139.311449159328</v>
      </c>
      <c r="C48" s="28">
        <f t="shared" si="0"/>
        <v>-163499.91514893336</v>
      </c>
      <c r="D48" s="6">
        <f t="shared" si="3"/>
        <v>373945.50341423816</v>
      </c>
    </row>
    <row r="49" spans="1:4" ht="12" customHeight="1">
      <c r="A49">
        <f t="shared" si="4"/>
        <v>63</v>
      </c>
      <c r="B49" s="28">
        <f t="shared" si="1"/>
        <v>4139.311449159328</v>
      </c>
      <c r="C49" s="28">
        <f t="shared" si="0"/>
        <v>-172380.72413741171</v>
      </c>
      <c r="D49" s="6">
        <f t="shared" si="3"/>
        <v>388929.2344624104</v>
      </c>
    </row>
    <row r="50" spans="1:7" ht="12" customHeight="1">
      <c r="A50">
        <f t="shared" si="4"/>
        <v>64</v>
      </c>
      <c r="B50" s="28">
        <f t="shared" si="1"/>
        <v>4139.311449159328</v>
      </c>
      <c r="C50" s="28">
        <f t="shared" si="0"/>
        <v>-181519.07658655595</v>
      </c>
      <c r="D50" s="6">
        <f t="shared" si="3"/>
        <v>404347.4937109796</v>
      </c>
      <c r="F50" s="6">
        <f>D50+C50</f>
        <v>222828.41712442363</v>
      </c>
      <c r="G50" t="s">
        <v>45</v>
      </c>
    </row>
    <row r="51" spans="1:4" ht="12" customHeight="1">
      <c r="A51">
        <f t="shared" si="4"/>
        <v>65</v>
      </c>
      <c r="B51" s="28">
        <f aca="true" t="shared" si="5" ref="B51:B70">-yearlyincome</f>
        <v>-12088.408644400786</v>
      </c>
      <c r="C51" s="28">
        <f t="shared" si="0"/>
        <v>-174694.72116316526</v>
      </c>
      <c r="D51" s="6">
        <f t="shared" si="3"/>
        <v>403985.1623841972</v>
      </c>
    </row>
    <row r="52" spans="1:4" ht="12" customHeight="1">
      <c r="A52">
        <f t="shared" si="4"/>
        <v>66</v>
      </c>
      <c r="B52" s="28">
        <f t="shared" si="5"/>
        <v>-12088.408644400786</v>
      </c>
      <c r="C52" s="28">
        <f t="shared" si="0"/>
        <v>-167672.45943249625</v>
      </c>
      <c r="D52" s="6">
        <f t="shared" si="3"/>
        <v>403612.3234489381</v>
      </c>
    </row>
    <row r="53" spans="1:6" ht="12" customHeight="1">
      <c r="A53">
        <f t="shared" si="4"/>
        <v>67</v>
      </c>
      <c r="B53" s="28">
        <f t="shared" si="5"/>
        <v>-12088.408644400786</v>
      </c>
      <c r="C53" s="28">
        <f t="shared" si="0"/>
        <v>-160446.55211163784</v>
      </c>
      <c r="D53" s="6">
        <f t="shared" si="3"/>
        <v>403228.6721845565</v>
      </c>
      <c r="F53" s="6"/>
    </row>
    <row r="54" spans="1:4" ht="12" customHeight="1">
      <c r="A54">
        <f t="shared" si="4"/>
        <v>68</v>
      </c>
      <c r="B54" s="28">
        <f t="shared" si="5"/>
        <v>-12088.408644400786</v>
      </c>
      <c r="C54" s="28">
        <f t="shared" si="0"/>
        <v>-153011.09347847453</v>
      </c>
      <c r="D54" s="6">
        <f t="shared" si="3"/>
        <v>402833.89503350784</v>
      </c>
    </row>
    <row r="55" spans="1:4" ht="12" customHeight="1">
      <c r="A55">
        <f t="shared" si="4"/>
        <v>69</v>
      </c>
      <c r="B55" s="6">
        <f t="shared" si="5"/>
        <v>-12088.408644400786</v>
      </c>
      <c r="C55" s="28">
        <f t="shared" si="0"/>
        <v>-145360.0065449495</v>
      </c>
      <c r="D55" s="6">
        <f t="shared" si="3"/>
        <v>402427.66934507876</v>
      </c>
    </row>
    <row r="56" spans="1:4" ht="12" customHeight="1">
      <c r="A56">
        <f t="shared" si="4"/>
        <v>70</v>
      </c>
      <c r="B56" s="6">
        <f t="shared" si="5"/>
        <v>-12088.408644400786</v>
      </c>
      <c r="C56" s="28">
        <f t="shared" si="0"/>
        <v>-137487.0380903522</v>
      </c>
      <c r="D56" s="6">
        <f t="shared" si="3"/>
        <v>402009.66311168525</v>
      </c>
    </row>
    <row r="57" spans="1:4" ht="12" customHeight="1">
      <c r="A57">
        <f t="shared" si="4"/>
        <v>71</v>
      </c>
      <c r="B57" s="6">
        <f t="shared" si="5"/>
        <v>-12088.408644400786</v>
      </c>
      <c r="C57" s="28">
        <f t="shared" si="0"/>
        <v>-129385.75355057161</v>
      </c>
      <c r="D57" s="6">
        <f t="shared" si="3"/>
        <v>401579.53469752334</v>
      </c>
    </row>
    <row r="58" spans="1:4" ht="12" customHeight="1">
      <c r="A58">
        <f t="shared" si="4"/>
        <v>72</v>
      </c>
      <c r="B58" s="6">
        <f t="shared" si="5"/>
        <v>-12088.408644400786</v>
      </c>
      <c r="C58" s="28">
        <f t="shared" si="0"/>
        <v>-121049.53175913738</v>
      </c>
      <c r="D58" s="6">
        <f t="shared" si="3"/>
        <v>401136.93255935074</v>
      </c>
    </row>
    <row r="59" spans="1:4" ht="12" customHeight="1">
      <c r="A59">
        <f t="shared" si="4"/>
        <v>73</v>
      </c>
      <c r="B59" s="6">
        <f t="shared" si="5"/>
        <v>-12088.408644400786</v>
      </c>
      <c r="C59" s="28">
        <f t="shared" si="0"/>
        <v>-112471.55953575157</v>
      </c>
      <c r="D59" s="6">
        <f t="shared" si="3"/>
        <v>400681.4949591711</v>
      </c>
    </row>
    <row r="60" spans="1:4" ht="12" customHeight="1">
      <c r="A60">
        <f t="shared" si="4"/>
        <v>74</v>
      </c>
      <c r="B60" s="6">
        <f t="shared" si="5"/>
        <v>-12088.408644400786</v>
      </c>
      <c r="C60" s="28">
        <f t="shared" si="0"/>
        <v>-103644.82611788757</v>
      </c>
      <c r="D60" s="6">
        <f t="shared" si="3"/>
        <v>400212.8496685863</v>
      </c>
    </row>
    <row r="61" spans="1:4" ht="12" customHeight="1">
      <c r="A61">
        <f t="shared" si="4"/>
        <v>75</v>
      </c>
      <c r="B61" s="6">
        <f t="shared" si="5"/>
        <v>-12088.408644400786</v>
      </c>
      <c r="C61" s="28">
        <f t="shared" si="0"/>
        <v>-94562.11743090552</v>
      </c>
      <c r="D61" s="6">
        <f t="shared" si="3"/>
        <v>399730.61366457446</v>
      </c>
    </row>
    <row r="62" spans="1:4" ht="12" customHeight="1">
      <c r="A62">
        <f t="shared" si="4"/>
        <v>76</v>
      </c>
      <c r="B62" s="6">
        <f t="shared" si="5"/>
        <v>-12088.408644400786</v>
      </c>
      <c r="C62" s="28">
        <f t="shared" si="0"/>
        <v>-85216.01019200099</v>
      </c>
      <c r="D62" s="6">
        <f t="shared" si="3"/>
        <v>399234.3928164463</v>
      </c>
    </row>
    <row r="63" spans="1:4" ht="12" customHeight="1">
      <c r="A63">
        <f t="shared" si="4"/>
        <v>77</v>
      </c>
      <c r="B63" s="6">
        <f t="shared" si="5"/>
        <v>-12088.408644400786</v>
      </c>
      <c r="C63" s="28">
        <f t="shared" si="0"/>
        <v>-75598.86584316823</v>
      </c>
      <c r="D63" s="6">
        <f t="shared" si="3"/>
        <v>398723.78156372247</v>
      </c>
    </row>
    <row r="64" spans="1:4" ht="12" customHeight="1">
      <c r="A64">
        <f t="shared" si="4"/>
        <v>78</v>
      </c>
      <c r="B64" s="6">
        <f t="shared" si="5"/>
        <v>-12088.408644400786</v>
      </c>
      <c r="C64" s="28">
        <f t="shared" si="0"/>
        <v>-65702.82430821931</v>
      </c>
      <c r="D64" s="6">
        <f t="shared" si="3"/>
        <v>398198.3625846696</v>
      </c>
    </row>
    <row r="65" spans="1:4" ht="12" customHeight="1">
      <c r="A65">
        <f t="shared" si="4"/>
        <v>79</v>
      </c>
      <c r="B65" s="6">
        <f t="shared" si="5"/>
        <v>-12088.408644400786</v>
      </c>
      <c r="C65" s="28">
        <f t="shared" si="0"/>
        <v>-55519.797568756876</v>
      </c>
      <c r="D65" s="6">
        <f t="shared" si="3"/>
        <v>397657.70645522425</v>
      </c>
    </row>
    <row r="66" spans="1:4" ht="12" customHeight="1">
      <c r="A66">
        <v>81</v>
      </c>
      <c r="B66" s="6">
        <f t="shared" si="5"/>
        <v>-12088.408644400786</v>
      </c>
      <c r="C66" s="28">
        <f t="shared" si="0"/>
        <v>-45041.463053850035</v>
      </c>
      <c r="D66" s="6">
        <f>D65*(1+growth)+cash</f>
        <v>397101.37129802495</v>
      </c>
    </row>
    <row r="67" spans="1:4" ht="12" customHeight="1">
      <c r="A67">
        <f t="shared" si="4"/>
        <v>82</v>
      </c>
      <c r="B67" s="6">
        <f t="shared" si="5"/>
        <v>-12088.408644400786</v>
      </c>
      <c r="C67" s="28">
        <f>(C68+B68)/(1+growth)</f>
        <v>-34259.2568380109</v>
      </c>
      <c r="D67" s="6">
        <f>D66*(1+growth)+cash</f>
        <v>396528.9024212669</v>
      </c>
    </row>
    <row r="68" spans="1:4" ht="12" customHeight="1">
      <c r="A68">
        <v>82</v>
      </c>
      <c r="B68" s="6">
        <f t="shared" si="5"/>
        <v>-12088.408644400786</v>
      </c>
      <c r="C68" s="28">
        <f>(C69+B69)/(1+growth)</f>
        <v>-23164.366641912427</v>
      </c>
      <c r="D68" s="6">
        <f>D67*(1+growth)+cash</f>
        <v>395939.8319470828</v>
      </c>
    </row>
    <row r="69" spans="1:4" ht="12" customHeight="1">
      <c r="A69">
        <f t="shared" si="4"/>
        <v>83</v>
      </c>
      <c r="B69" s="6">
        <f t="shared" si="5"/>
        <v>-12088.408644400786</v>
      </c>
      <c r="C69" s="28">
        <f>(C70+B70)/(1+growth)</f>
        <v>-11747.7246301271</v>
      </c>
      <c r="D69" s="6">
        <f>D68*(1+growth)+cash</f>
        <v>395333.6784291474</v>
      </c>
    </row>
    <row r="70" spans="1:6" ht="12" customHeight="1">
      <c r="A70">
        <f t="shared" si="4"/>
        <v>84</v>
      </c>
      <c r="B70" s="6">
        <f t="shared" si="5"/>
        <v>-12088.408644400786</v>
      </c>
      <c r="C70" s="6"/>
      <c r="D70" s="6">
        <f>D69*(1+growth)+cash</f>
        <v>394709.94645919185</v>
      </c>
      <c r="F70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 A</cp:lastModifiedBy>
  <dcterms:created xsi:type="dcterms:W3CDTF">2008-09-22T12:20:05Z</dcterms:created>
  <dcterms:modified xsi:type="dcterms:W3CDTF">2009-09-25T21:10:03Z</dcterms:modified>
  <cp:category/>
  <cp:version/>
  <cp:contentType/>
  <cp:contentStatus/>
</cp:coreProperties>
</file>